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OFICIO 1056 LEY DE DISCIPLINA FINANCIERA 2DO TRIM 22\"/>
    </mc:Choice>
  </mc:AlternateContent>
  <xr:revisionPtr revIDLastSave="0" documentId="13_ncr:1_{168E09F8-D473-4546-9F03-D3F043C2A5AB}" xr6:coauthVersionLast="36" xr6:coauthVersionMax="36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0" windowHeight="6945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C137" i="6" l="1"/>
  <c r="Q129" i="24" s="1"/>
  <c r="D137" i="6"/>
  <c r="E137" i="6"/>
  <c r="S129" i="24" s="1"/>
  <c r="F137" i="6"/>
  <c r="B137" i="6"/>
  <c r="P129" i="24" s="1"/>
  <c r="C62" i="6"/>
  <c r="D62" i="6"/>
  <c r="E62" i="6"/>
  <c r="F62" i="6"/>
  <c r="B62" i="6"/>
  <c r="P55" i="24" s="1"/>
  <c r="B8" i="10"/>
  <c r="C6" i="23"/>
  <c r="C7" i="23" s="1"/>
  <c r="A2" i="8" s="1"/>
  <c r="B9" i="1"/>
  <c r="H25" i="23"/>
  <c r="G25" i="23"/>
  <c r="F25" i="23"/>
  <c r="E25" i="23"/>
  <c r="D25" i="23"/>
  <c r="G30" i="9"/>
  <c r="U22" i="27" s="1"/>
  <c r="G31" i="9"/>
  <c r="U23" i="27" s="1"/>
  <c r="G29" i="9"/>
  <c r="G28" i="9" s="1"/>
  <c r="G26" i="9"/>
  <c r="U18" i="27" s="1"/>
  <c r="G27" i="9"/>
  <c r="G25" i="9"/>
  <c r="U17" i="27" s="1"/>
  <c r="G23" i="9"/>
  <c r="G22" i="9"/>
  <c r="U14" i="27" s="1"/>
  <c r="G19" i="9"/>
  <c r="G18" i="9"/>
  <c r="G16" i="9" s="1"/>
  <c r="G17" i="9"/>
  <c r="G14" i="9"/>
  <c r="G15" i="9"/>
  <c r="G13" i="9"/>
  <c r="G11" i="9"/>
  <c r="G10" i="9"/>
  <c r="U3" i="27" s="1"/>
  <c r="G73" i="8"/>
  <c r="U65" i="26" s="1"/>
  <c r="G74" i="8"/>
  <c r="G75" i="8"/>
  <c r="U67" i="26" s="1"/>
  <c r="G72" i="8"/>
  <c r="G71" i="8" s="1"/>
  <c r="U63" i="26" s="1"/>
  <c r="G63" i="8"/>
  <c r="U55" i="26" s="1"/>
  <c r="G64" i="8"/>
  <c r="G65" i="8"/>
  <c r="U57" i="26" s="1"/>
  <c r="G66" i="8"/>
  <c r="G67" i="8"/>
  <c r="U59" i="26" s="1"/>
  <c r="G68" i="8"/>
  <c r="G69" i="8"/>
  <c r="U61" i="26" s="1"/>
  <c r="G70" i="8"/>
  <c r="G62" i="8"/>
  <c r="G55" i="8"/>
  <c r="U47" i="26" s="1"/>
  <c r="G56" i="8"/>
  <c r="G57" i="8"/>
  <c r="U49" i="26" s="1"/>
  <c r="G58" i="8"/>
  <c r="G59" i="8"/>
  <c r="U51" i="26" s="1"/>
  <c r="G60" i="8"/>
  <c r="G54" i="8"/>
  <c r="G46" i="8"/>
  <c r="U38" i="26" s="1"/>
  <c r="G47" i="8"/>
  <c r="U39" i="26" s="1"/>
  <c r="G48" i="8"/>
  <c r="G49" i="8"/>
  <c r="U41" i="26" s="1"/>
  <c r="G50" i="8"/>
  <c r="G51" i="8"/>
  <c r="U43" i="26" s="1"/>
  <c r="G52" i="8"/>
  <c r="G45" i="8"/>
  <c r="G39" i="8"/>
  <c r="U32" i="26" s="1"/>
  <c r="G40" i="8"/>
  <c r="U33" i="26" s="1"/>
  <c r="G41" i="8"/>
  <c r="G38" i="8"/>
  <c r="G11" i="8"/>
  <c r="G12" i="8"/>
  <c r="G13" i="8"/>
  <c r="G14" i="8"/>
  <c r="U7" i="26" s="1"/>
  <c r="G15" i="8"/>
  <c r="G16" i="8"/>
  <c r="U9" i="26" s="1"/>
  <c r="G17" i="8"/>
  <c r="G18" i="8"/>
  <c r="U11" i="26" s="1"/>
  <c r="G20" i="8"/>
  <c r="U13" i="26" s="1"/>
  <c r="G21" i="8"/>
  <c r="G22" i="8"/>
  <c r="U15" i="26" s="1"/>
  <c r="G23" i="8"/>
  <c r="G24" i="8"/>
  <c r="U17" i="26" s="1"/>
  <c r="G25" i="8"/>
  <c r="G26" i="8"/>
  <c r="U19" i="26" s="1"/>
  <c r="G28" i="8"/>
  <c r="G29" i="8"/>
  <c r="G30" i="8"/>
  <c r="U23" i="26" s="1"/>
  <c r="G31" i="8"/>
  <c r="U24" i="26" s="1"/>
  <c r="G32" i="8"/>
  <c r="U25" i="26" s="1"/>
  <c r="G33" i="8"/>
  <c r="G34" i="8"/>
  <c r="U27" i="26" s="1"/>
  <c r="G35" i="8"/>
  <c r="U28" i="26" s="1"/>
  <c r="G36" i="8"/>
  <c r="U29" i="26" s="1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P3" i="24" s="1"/>
  <c r="B18" i="6"/>
  <c r="P11" i="24" s="1"/>
  <c r="B28" i="6"/>
  <c r="B38" i="6"/>
  <c r="P31" i="24" s="1"/>
  <c r="B48" i="6"/>
  <c r="B58" i="6"/>
  <c r="B71" i="6"/>
  <c r="B75" i="6"/>
  <c r="G152" i="6"/>
  <c r="U144" i="24" s="1"/>
  <c r="G153" i="6"/>
  <c r="G154" i="6"/>
  <c r="U146" i="24" s="1"/>
  <c r="G155" i="6"/>
  <c r="G156" i="6"/>
  <c r="U148" i="24" s="1"/>
  <c r="G157" i="6"/>
  <c r="G151" i="6"/>
  <c r="U143" i="24" s="1"/>
  <c r="G148" i="6"/>
  <c r="G149" i="6"/>
  <c r="G147" i="6"/>
  <c r="G139" i="6"/>
  <c r="U131" i="24" s="1"/>
  <c r="G140" i="6"/>
  <c r="G141" i="6"/>
  <c r="U133" i="24" s="1"/>
  <c r="G142" i="6"/>
  <c r="U134" i="24" s="1"/>
  <c r="G143" i="6"/>
  <c r="U135" i="24" s="1"/>
  <c r="G144" i="6"/>
  <c r="G145" i="6"/>
  <c r="U137" i="24" s="1"/>
  <c r="G138" i="6"/>
  <c r="U130" i="24" s="1"/>
  <c r="G135" i="6"/>
  <c r="U127" i="24" s="1"/>
  <c r="G136" i="6"/>
  <c r="G134" i="6"/>
  <c r="G133" i="6" s="1"/>
  <c r="U125" i="24" s="1"/>
  <c r="G125" i="6"/>
  <c r="G126" i="6"/>
  <c r="U118" i="24" s="1"/>
  <c r="G127" i="6"/>
  <c r="G128" i="6"/>
  <c r="G129" i="6"/>
  <c r="G130" i="6"/>
  <c r="U122" i="24" s="1"/>
  <c r="G131" i="6"/>
  <c r="G132" i="6"/>
  <c r="U124" i="24" s="1"/>
  <c r="G124" i="6"/>
  <c r="G115" i="6"/>
  <c r="U107" i="24" s="1"/>
  <c r="G116" i="6"/>
  <c r="G117" i="6"/>
  <c r="U109" i="24" s="1"/>
  <c r="G118" i="6"/>
  <c r="G119" i="6"/>
  <c r="U111" i="24" s="1"/>
  <c r="G120" i="6"/>
  <c r="G121" i="6"/>
  <c r="U113" i="24" s="1"/>
  <c r="G122" i="6"/>
  <c r="G114" i="6"/>
  <c r="G105" i="6"/>
  <c r="G106" i="6"/>
  <c r="G107" i="6"/>
  <c r="G108" i="6"/>
  <c r="G109" i="6"/>
  <c r="G110" i="6"/>
  <c r="G111" i="6"/>
  <c r="G112" i="6"/>
  <c r="G104" i="6"/>
  <c r="G95" i="6"/>
  <c r="U87" i="24" s="1"/>
  <c r="G96" i="6"/>
  <c r="G97" i="6"/>
  <c r="U89" i="24" s="1"/>
  <c r="G98" i="6"/>
  <c r="G99" i="6"/>
  <c r="U91" i="24" s="1"/>
  <c r="G100" i="6"/>
  <c r="G101" i="6"/>
  <c r="U93" i="24" s="1"/>
  <c r="G102" i="6"/>
  <c r="G94" i="6"/>
  <c r="G93" i="6" s="1"/>
  <c r="U85" i="24" s="1"/>
  <c r="G87" i="6"/>
  <c r="G88" i="6"/>
  <c r="G89" i="6"/>
  <c r="G90" i="6"/>
  <c r="G91" i="6"/>
  <c r="G92" i="6"/>
  <c r="G86" i="6"/>
  <c r="G77" i="6"/>
  <c r="U70" i="24" s="1"/>
  <c r="G78" i="6"/>
  <c r="G79" i="6"/>
  <c r="U72" i="24" s="1"/>
  <c r="G80" i="6"/>
  <c r="G81" i="6"/>
  <c r="U74" i="24" s="1"/>
  <c r="G82" i="6"/>
  <c r="G76" i="6"/>
  <c r="G73" i="6"/>
  <c r="G74" i="6"/>
  <c r="G72" i="6"/>
  <c r="G64" i="6"/>
  <c r="U57" i="24" s="1"/>
  <c r="G65" i="6"/>
  <c r="G66" i="6"/>
  <c r="G67" i="6"/>
  <c r="G68" i="6"/>
  <c r="G69" i="6"/>
  <c r="G70" i="6"/>
  <c r="G63" i="6"/>
  <c r="G60" i="6"/>
  <c r="U53" i="24" s="1"/>
  <c r="G61" i="6"/>
  <c r="G59" i="6"/>
  <c r="G50" i="6"/>
  <c r="G51" i="6"/>
  <c r="G52" i="6"/>
  <c r="G53" i="6"/>
  <c r="G54" i="6"/>
  <c r="G55" i="6"/>
  <c r="G56" i="6"/>
  <c r="G57" i="6"/>
  <c r="G49" i="6"/>
  <c r="G40" i="6"/>
  <c r="U33" i="24" s="1"/>
  <c r="G41" i="6"/>
  <c r="U34" i="24" s="1"/>
  <c r="G42" i="6"/>
  <c r="U35" i="24" s="1"/>
  <c r="G43" i="6"/>
  <c r="G44" i="6"/>
  <c r="U37" i="24" s="1"/>
  <c r="G45" i="6"/>
  <c r="G46" i="6"/>
  <c r="U39" i="24" s="1"/>
  <c r="G47" i="6"/>
  <c r="G39" i="6"/>
  <c r="G30" i="6"/>
  <c r="G31" i="6"/>
  <c r="G32" i="6"/>
  <c r="G33" i="6"/>
  <c r="G34" i="6"/>
  <c r="G35" i="6"/>
  <c r="G36" i="6"/>
  <c r="G37" i="6"/>
  <c r="G29" i="6"/>
  <c r="G20" i="6"/>
  <c r="U13" i="24" s="1"/>
  <c r="G21" i="6"/>
  <c r="G22" i="6"/>
  <c r="U15" i="24" s="1"/>
  <c r="G23" i="6"/>
  <c r="G24" i="6"/>
  <c r="U17" i="24" s="1"/>
  <c r="G25" i="6"/>
  <c r="G26" i="6"/>
  <c r="U19" i="24" s="1"/>
  <c r="G27" i="6"/>
  <c r="G19" i="6"/>
  <c r="U12" i="24" s="1"/>
  <c r="G11" i="6"/>
  <c r="B7" i="13"/>
  <c r="G12" i="6"/>
  <c r="G18" i="6"/>
  <c r="U11" i="24" s="1"/>
  <c r="G13" i="6"/>
  <c r="G14" i="6"/>
  <c r="U7" i="24" s="1"/>
  <c r="G15" i="6"/>
  <c r="G16" i="6"/>
  <c r="U9" i="24" s="1"/>
  <c r="G17" i="6"/>
  <c r="G9" i="5"/>
  <c r="G10" i="5"/>
  <c r="U4" i="20" s="1"/>
  <c r="G11" i="5"/>
  <c r="G12" i="5"/>
  <c r="U6" i="20" s="1"/>
  <c r="G13" i="5"/>
  <c r="G14" i="5"/>
  <c r="U8" i="20" s="1"/>
  <c r="G15" i="5"/>
  <c r="G17" i="5"/>
  <c r="G18" i="5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G33" i="5"/>
  <c r="G34" i="5"/>
  <c r="G36" i="5"/>
  <c r="G35" i="5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D29" i="13" s="1"/>
  <c r="R22" i="31" s="1"/>
  <c r="E7" i="13"/>
  <c r="E29" i="13"/>
  <c r="S22" i="31" s="1"/>
  <c r="F7" i="13"/>
  <c r="G7" i="13"/>
  <c r="G29" i="13" s="1"/>
  <c r="U22" i="31" s="1"/>
  <c r="R2" i="31"/>
  <c r="S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 s="1"/>
  <c r="C7" i="12"/>
  <c r="D7" i="12"/>
  <c r="D31" i="12" s="1"/>
  <c r="R23" i="30" s="1"/>
  <c r="E7" i="12"/>
  <c r="F7" i="12"/>
  <c r="F31" i="12"/>
  <c r="T23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R2" i="30"/>
  <c r="T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 s="1"/>
  <c r="C8" i="11"/>
  <c r="D8" i="11"/>
  <c r="D30" i="11" s="1"/>
  <c r="R22" i="29" s="1"/>
  <c r="E8" i="11"/>
  <c r="F8" i="11"/>
  <c r="F30" i="11"/>
  <c r="T22" i="29" s="1"/>
  <c r="G8" i="11"/>
  <c r="R2" i="29"/>
  <c r="T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E22" i="10"/>
  <c r="S15" i="28" s="1"/>
  <c r="F22" i="10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E32" i="10"/>
  <c r="S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6" i="9"/>
  <c r="C9" i="9"/>
  <c r="Q2" i="27" s="1"/>
  <c r="R5" i="27"/>
  <c r="D16" i="9"/>
  <c r="D9" i="9" s="1"/>
  <c r="E16" i="9"/>
  <c r="E9" i="9" s="1"/>
  <c r="S2" i="27" s="1"/>
  <c r="T5" i="27"/>
  <c r="F16" i="9"/>
  <c r="F9" i="9"/>
  <c r="T2" i="27" s="1"/>
  <c r="Q3" i="27"/>
  <c r="R3" i="27"/>
  <c r="S3" i="27"/>
  <c r="T3" i="27"/>
  <c r="Q4" i="27"/>
  <c r="R4" i="27"/>
  <c r="S4" i="27"/>
  <c r="T4" i="27"/>
  <c r="U4" i="27"/>
  <c r="Q5" i="27"/>
  <c r="S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U8" i="27"/>
  <c r="Q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Q16" i="27" s="1"/>
  <c r="C28" i="9"/>
  <c r="D24" i="9"/>
  <c r="R16" i="27" s="1"/>
  <c r="D28" i="9"/>
  <c r="E24" i="9"/>
  <c r="S16" i="27" s="1"/>
  <c r="E28" i="9"/>
  <c r="F24" i="9"/>
  <c r="T16" i="27" s="1"/>
  <c r="F28" i="9"/>
  <c r="G24" i="9"/>
  <c r="U16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Q18" i="27"/>
  <c r="R18" i="27"/>
  <c r="S18" i="27"/>
  <c r="T18" i="27"/>
  <c r="Q19" i="27"/>
  <c r="R19" i="27"/>
  <c r="S19" i="27"/>
  <c r="T19" i="27"/>
  <c r="U19" i="27"/>
  <c r="Q21" i="27"/>
  <c r="R21" i="27"/>
  <c r="S21" i="27"/>
  <c r="T21" i="27"/>
  <c r="Q22" i="27"/>
  <c r="R22" i="27"/>
  <c r="S22" i="27"/>
  <c r="T22" i="27"/>
  <c r="Q23" i="27"/>
  <c r="R23" i="27"/>
  <c r="S23" i="27"/>
  <c r="T23" i="27"/>
  <c r="P3" i="27"/>
  <c r="P4" i="27"/>
  <c r="P5" i="27"/>
  <c r="P6" i="27"/>
  <c r="P7" i="27"/>
  <c r="P8" i="27"/>
  <c r="B16" i="9"/>
  <c r="P9" i="27" s="1"/>
  <c r="P10" i="27"/>
  <c r="P11" i="27"/>
  <c r="P12" i="27"/>
  <c r="B24" i="9"/>
  <c r="B28" i="9"/>
  <c r="B21" i="9" s="1"/>
  <c r="P14" i="27"/>
  <c r="P15" i="27"/>
  <c r="P16" i="27"/>
  <c r="P17" i="27"/>
  <c r="P18" i="27"/>
  <c r="P19" i="27"/>
  <c r="P21" i="27"/>
  <c r="P22" i="27"/>
  <c r="P23" i="27"/>
  <c r="B9" i="9"/>
  <c r="P2" i="27" s="1"/>
  <c r="A5" i="27"/>
  <c r="A4" i="27"/>
  <c r="A3" i="27"/>
  <c r="A2" i="27"/>
  <c r="C10" i="8"/>
  <c r="Q3" i="26" s="1"/>
  <c r="C19" i="8"/>
  <c r="C27" i="8"/>
  <c r="C37" i="8"/>
  <c r="D10" i="8"/>
  <c r="D19" i="8"/>
  <c r="D27" i="8"/>
  <c r="D37" i="8"/>
  <c r="R30" i="26" s="1"/>
  <c r="E10" i="8"/>
  <c r="S3" i="26" s="1"/>
  <c r="E19" i="8"/>
  <c r="E27" i="8"/>
  <c r="E37" i="8"/>
  <c r="S30" i="26" s="1"/>
  <c r="F10" i="8"/>
  <c r="T3" i="26" s="1"/>
  <c r="F19" i="8"/>
  <c r="F27" i="8"/>
  <c r="F37" i="8"/>
  <c r="T30" i="26" s="1"/>
  <c r="R3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S12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U18" i="26"/>
  <c r="Q19" i="26"/>
  <c r="R19" i="26"/>
  <c r="S19" i="26"/>
  <c r="T19" i="26"/>
  <c r="Q20" i="26"/>
  <c r="R20" i="26"/>
  <c r="S20" i="26"/>
  <c r="T20" i="26"/>
  <c r="Q21" i="26"/>
  <c r="R21" i="26"/>
  <c r="S21" i="26"/>
  <c r="T21" i="26"/>
  <c r="Q22" i="26"/>
  <c r="R22" i="26"/>
  <c r="S22" i="26"/>
  <c r="T22" i="26"/>
  <c r="U22" i="26"/>
  <c r="Q23" i="26"/>
  <c r="R23" i="26"/>
  <c r="S23" i="26"/>
  <c r="T23" i="26"/>
  <c r="Q24" i="26"/>
  <c r="R24" i="26"/>
  <c r="S24" i="26"/>
  <c r="T24" i="26"/>
  <c r="Q25" i="26"/>
  <c r="R25" i="26"/>
  <c r="S25" i="26"/>
  <c r="T25" i="26"/>
  <c r="Q26" i="26"/>
  <c r="R26" i="26"/>
  <c r="S26" i="26"/>
  <c r="T26" i="26"/>
  <c r="U26" i="26"/>
  <c r="Q27" i="26"/>
  <c r="R27" i="26"/>
  <c r="S27" i="26"/>
  <c r="T27" i="26"/>
  <c r="Q28" i="26"/>
  <c r="R28" i="26"/>
  <c r="S28" i="26"/>
  <c r="T28" i="26"/>
  <c r="Q29" i="26"/>
  <c r="R29" i="26"/>
  <c r="S29" i="26"/>
  <c r="T29" i="26"/>
  <c r="Q30" i="26"/>
  <c r="Q31" i="26"/>
  <c r="R31" i="26"/>
  <c r="S31" i="26"/>
  <c r="T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U34" i="26"/>
  <c r="C44" i="8"/>
  <c r="Q36" i="26" s="1"/>
  <c r="C53" i="8"/>
  <c r="C61" i="8"/>
  <c r="C71" i="8"/>
  <c r="Q63" i="26" s="1"/>
  <c r="D44" i="8"/>
  <c r="R36" i="26" s="1"/>
  <c r="D53" i="8"/>
  <c r="D61" i="8"/>
  <c r="R53" i="26" s="1"/>
  <c r="D71" i="8"/>
  <c r="E44" i="8"/>
  <c r="S36" i="26" s="1"/>
  <c r="E53" i="8"/>
  <c r="E61" i="8"/>
  <c r="S53" i="26" s="1"/>
  <c r="E71" i="8"/>
  <c r="S63" i="26" s="1"/>
  <c r="F44" i="8"/>
  <c r="T36" i="26" s="1"/>
  <c r="F53" i="8"/>
  <c r="F61" i="8"/>
  <c r="T53" i="26" s="1"/>
  <c r="F71" i="8"/>
  <c r="G53" i="8"/>
  <c r="U45" i="26" s="1"/>
  <c r="Q37" i="26"/>
  <c r="R37" i="26"/>
  <c r="S37" i="26"/>
  <c r="T37" i="26"/>
  <c r="Q38" i="26"/>
  <c r="R38" i="26"/>
  <c r="S38" i="26"/>
  <c r="T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R45" i="26"/>
  <c r="T45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Q52" i="26"/>
  <c r="R52" i="26"/>
  <c r="S52" i="26"/>
  <c r="T52" i="26"/>
  <c r="U52" i="26"/>
  <c r="Q53" i="26"/>
  <c r="Q54" i="26"/>
  <c r="R54" i="26"/>
  <c r="S54" i="26"/>
  <c r="T54" i="26"/>
  <c r="U54" i="26"/>
  <c r="Q55" i="26"/>
  <c r="R55" i="26"/>
  <c r="S55" i="26"/>
  <c r="T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U58" i="26"/>
  <c r="Q59" i="26"/>
  <c r="R59" i="26"/>
  <c r="S59" i="26"/>
  <c r="T59" i="26"/>
  <c r="Q60" i="26"/>
  <c r="R60" i="26"/>
  <c r="S60" i="26"/>
  <c r="T60" i="26"/>
  <c r="U60" i="26"/>
  <c r="Q61" i="26"/>
  <c r="R61" i="26"/>
  <c r="S61" i="26"/>
  <c r="T61" i="26"/>
  <c r="Q62" i="26"/>
  <c r="R62" i="26"/>
  <c r="S62" i="26"/>
  <c r="T62" i="26"/>
  <c r="U62" i="26"/>
  <c r="R63" i="26"/>
  <c r="T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P12" i="26" s="1"/>
  <c r="B27" i="8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19" i="7"/>
  <c r="F9" i="7"/>
  <c r="F19" i="7"/>
  <c r="T3" i="25" s="1"/>
  <c r="E9" i="7"/>
  <c r="E19" i="7"/>
  <c r="D9" i="7"/>
  <c r="R2" i="25" s="1"/>
  <c r="D19" i="7"/>
  <c r="R3" i="25" s="1"/>
  <c r="C9" i="7"/>
  <c r="C19" i="7"/>
  <c r="B9" i="7"/>
  <c r="B19" i="7"/>
  <c r="S2" i="25"/>
  <c r="A3" i="25"/>
  <c r="A4" i="25"/>
  <c r="A2" i="25"/>
  <c r="A87" i="24"/>
  <c r="C85" i="6"/>
  <c r="C93" i="6"/>
  <c r="C103" i="6"/>
  <c r="C113" i="6"/>
  <c r="Q105" i="24" s="1"/>
  <c r="C123" i="6"/>
  <c r="Q115" i="24" s="1"/>
  <c r="C133" i="6"/>
  <c r="Q125" i="24" s="1"/>
  <c r="C146" i="6"/>
  <c r="C150" i="6"/>
  <c r="D85" i="6"/>
  <c r="R77" i="24" s="1"/>
  <c r="D93" i="6"/>
  <c r="D103" i="6"/>
  <c r="R95" i="24" s="1"/>
  <c r="D113" i="6"/>
  <c r="R105" i="24" s="1"/>
  <c r="D123" i="6"/>
  <c r="R115" i="24" s="1"/>
  <c r="D133" i="6"/>
  <c r="R125" i="24" s="1"/>
  <c r="D146" i="6"/>
  <c r="R138" i="24" s="1"/>
  <c r="D150" i="6"/>
  <c r="R142" i="24" s="1"/>
  <c r="E85" i="6"/>
  <c r="S77" i="24" s="1"/>
  <c r="E93" i="6"/>
  <c r="E103" i="6"/>
  <c r="E113" i="6"/>
  <c r="S105" i="24" s="1"/>
  <c r="E123" i="6"/>
  <c r="E133" i="6"/>
  <c r="S125" i="24" s="1"/>
  <c r="E146" i="6"/>
  <c r="E150" i="6"/>
  <c r="S142" i="24" s="1"/>
  <c r="F85" i="6"/>
  <c r="T77" i="24" s="1"/>
  <c r="F93" i="6"/>
  <c r="F103" i="6"/>
  <c r="T95" i="24" s="1"/>
  <c r="F113" i="6"/>
  <c r="T105" i="24" s="1"/>
  <c r="F123" i="6"/>
  <c r="T115" i="24" s="1"/>
  <c r="F133" i="6"/>
  <c r="T125" i="24" s="1"/>
  <c r="F146" i="6"/>
  <c r="T138" i="24" s="1"/>
  <c r="F150" i="6"/>
  <c r="T142" i="24" s="1"/>
  <c r="Q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R85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Q95" i="24"/>
  <c r="S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U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U112" i="24"/>
  <c r="Q113" i="24"/>
  <c r="R113" i="24"/>
  <c r="S113" i="24"/>
  <c r="T113" i="24"/>
  <c r="Q114" i="24"/>
  <c r="R114" i="24"/>
  <c r="S114" i="24"/>
  <c r="T114" i="24"/>
  <c r="U114" i="24"/>
  <c r="S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U123" i="24"/>
  <c r="Q124" i="24"/>
  <c r="R124" i="24"/>
  <c r="S124" i="24"/>
  <c r="T124" i="24"/>
  <c r="Q126" i="24"/>
  <c r="R126" i="24"/>
  <c r="S126" i="24"/>
  <c r="T126" i="24"/>
  <c r="U126" i="24"/>
  <c r="Q127" i="24"/>
  <c r="R127" i="24"/>
  <c r="S127" i="24"/>
  <c r="T127" i="24"/>
  <c r="Q128" i="24"/>
  <c r="R128" i="24"/>
  <c r="S128" i="24"/>
  <c r="T128" i="24"/>
  <c r="U128" i="24"/>
  <c r="R129" i="24"/>
  <c r="T129" i="24"/>
  <c r="Q130" i="24"/>
  <c r="R130" i="24"/>
  <c r="S130" i="24"/>
  <c r="T130" i="24"/>
  <c r="Q131" i="24"/>
  <c r="R131" i="24"/>
  <c r="S131" i="24"/>
  <c r="T131" i="24"/>
  <c r="Q132" i="24"/>
  <c r="R132" i="24"/>
  <c r="S132" i="24"/>
  <c r="T132" i="24"/>
  <c r="U132" i="24"/>
  <c r="Q133" i="24"/>
  <c r="R133" i="24"/>
  <c r="S133" i="24"/>
  <c r="T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Q138" i="24"/>
  <c r="S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Q142" i="24"/>
  <c r="Q143" i="24"/>
  <c r="R143" i="24"/>
  <c r="S143" i="24"/>
  <c r="T143" i="24"/>
  <c r="Q144" i="24"/>
  <c r="R144" i="24"/>
  <c r="S144" i="24"/>
  <c r="T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U147" i="24"/>
  <c r="Q148" i="24"/>
  <c r="R148" i="24"/>
  <c r="S148" i="24"/>
  <c r="T148" i="24"/>
  <c r="Q149" i="24"/>
  <c r="R149" i="24"/>
  <c r="S149" i="24"/>
  <c r="T149" i="24"/>
  <c r="U149" i="24"/>
  <c r="C10" i="6"/>
  <c r="Q3" i="24" s="1"/>
  <c r="C18" i="6"/>
  <c r="C28" i="6"/>
  <c r="Q21" i="24" s="1"/>
  <c r="C38" i="6"/>
  <c r="C48" i="6"/>
  <c r="Q41" i="24" s="1"/>
  <c r="C58" i="6"/>
  <c r="C71" i="6"/>
  <c r="Q64" i="24" s="1"/>
  <c r="C75" i="6"/>
  <c r="D10" i="6"/>
  <c r="R3" i="24" s="1"/>
  <c r="D18" i="6"/>
  <c r="R11" i="24" s="1"/>
  <c r="D28" i="6"/>
  <c r="D38" i="6"/>
  <c r="R31" i="24" s="1"/>
  <c r="D48" i="6"/>
  <c r="R41" i="24" s="1"/>
  <c r="D58" i="6"/>
  <c r="D71" i="6"/>
  <c r="R64" i="24" s="1"/>
  <c r="D75" i="6"/>
  <c r="E10" i="6"/>
  <c r="S3" i="24" s="1"/>
  <c r="E18" i="6"/>
  <c r="E28" i="6"/>
  <c r="S21" i="24" s="1"/>
  <c r="E38" i="6"/>
  <c r="S31" i="24" s="1"/>
  <c r="E48" i="6"/>
  <c r="S41" i="24" s="1"/>
  <c r="E58" i="6"/>
  <c r="E71" i="6"/>
  <c r="E75" i="6"/>
  <c r="F10" i="6"/>
  <c r="T3" i="24" s="1"/>
  <c r="F18" i="6"/>
  <c r="F28" i="6"/>
  <c r="F38" i="6"/>
  <c r="T31" i="24" s="1"/>
  <c r="F48" i="6"/>
  <c r="T41" i="24" s="1"/>
  <c r="F58" i="6"/>
  <c r="T51" i="24" s="1"/>
  <c r="F71" i="6"/>
  <c r="T64" i="24" s="1"/>
  <c r="F75" i="6"/>
  <c r="G28" i="6"/>
  <c r="G48" i="6"/>
  <c r="U41" i="24" s="1"/>
  <c r="G71" i="6"/>
  <c r="U64" i="24" s="1"/>
  <c r="B85" i="6"/>
  <c r="B93" i="6"/>
  <c r="P85" i="24" s="1"/>
  <c r="B103" i="6"/>
  <c r="B113" i="6"/>
  <c r="B123" i="6"/>
  <c r="P115" i="24" s="1"/>
  <c r="B133" i="6"/>
  <c r="P125" i="24" s="1"/>
  <c r="B146" i="6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Q8" i="24"/>
  <c r="R8" i="24"/>
  <c r="S8" i="24"/>
  <c r="T8" i="24"/>
  <c r="U8" i="24"/>
  <c r="Q9" i="24"/>
  <c r="R9" i="24"/>
  <c r="S9" i="24"/>
  <c r="T9" i="24"/>
  <c r="Q10" i="24"/>
  <c r="R10" i="24"/>
  <c r="S10" i="24"/>
  <c r="T10" i="24"/>
  <c r="U10" i="24"/>
  <c r="Q11" i="24"/>
  <c r="Q12" i="24"/>
  <c r="R12" i="24"/>
  <c r="S12" i="24"/>
  <c r="T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R21" i="24"/>
  <c r="T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2" i="24"/>
  <c r="R32" i="24"/>
  <c r="S32" i="24"/>
  <c r="T32" i="24"/>
  <c r="U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U40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S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Q69" i="24"/>
  <c r="R69" i="24"/>
  <c r="S69" i="24"/>
  <c r="T69" i="24"/>
  <c r="U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5" i="20"/>
  <c r="U7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28" i="20"/>
  <c r="U30" i="20"/>
  <c r="U32" i="20"/>
  <c r="U33" i="20"/>
  <c r="G46" i="5"/>
  <c r="G47" i="5"/>
  <c r="G48" i="5"/>
  <c r="G49" i="5"/>
  <c r="G50" i="5"/>
  <c r="G51" i="5"/>
  <c r="G52" i="5"/>
  <c r="G53" i="5"/>
  <c r="U38" i="20"/>
  <c r="U39" i="20"/>
  <c r="U40" i="20"/>
  <c r="U41" i="20"/>
  <c r="U42" i="20"/>
  <c r="U43" i="20"/>
  <c r="U44" i="20"/>
  <c r="U45" i="20"/>
  <c r="G55" i="5"/>
  <c r="G56" i="5"/>
  <c r="G57" i="5"/>
  <c r="U49" i="20" s="1"/>
  <c r="G58" i="5"/>
  <c r="U50" i="20" s="1"/>
  <c r="U47" i="20"/>
  <c r="G60" i="5"/>
  <c r="U52" i="20" s="1"/>
  <c r="G61" i="5"/>
  <c r="U53" i="20" s="1"/>
  <c r="G62" i="5"/>
  <c r="U54" i="20" s="1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D65" i="5"/>
  <c r="R56" i="20" s="1"/>
  <c r="E65" i="5"/>
  <c r="S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B54" i="5"/>
  <c r="B59" i="5"/>
  <c r="P51" i="20" s="1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2" i="20"/>
  <c r="P53" i="20"/>
  <c r="P54" i="20"/>
  <c r="P55" i="20"/>
  <c r="B16" i="5"/>
  <c r="P10" i="20" s="1"/>
  <c r="B28" i="5"/>
  <c r="B35" i="5"/>
  <c r="P29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7"/>
  <c r="A2" i="4"/>
  <c r="A2" i="2"/>
  <c r="F19" i="1"/>
  <c r="D20" i="23"/>
  <c r="B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 s="1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E14" i="3"/>
  <c r="S4" i="17" s="1"/>
  <c r="K10" i="3"/>
  <c r="K11" i="3"/>
  <c r="K12" i="3"/>
  <c r="J8" i="3"/>
  <c r="H8" i="3"/>
  <c r="G8" i="3"/>
  <c r="E8" i="3"/>
  <c r="S3" i="17" s="1"/>
  <c r="F41" i="2"/>
  <c r="E41" i="2"/>
  <c r="D41" i="2"/>
  <c r="R17" i="16" s="1"/>
  <c r="C41" i="2"/>
  <c r="Q17" i="16" s="1"/>
  <c r="H27" i="2"/>
  <c r="G27" i="2"/>
  <c r="U15" i="16" s="1"/>
  <c r="F27" i="2"/>
  <c r="T15" i="16" s="1"/>
  <c r="E27" i="2"/>
  <c r="D27" i="2"/>
  <c r="R15" i="16" s="1"/>
  <c r="C27" i="2"/>
  <c r="Q15" i="16" s="1"/>
  <c r="B41" i="2"/>
  <c r="P17" i="16" s="1"/>
  <c r="B27" i="2"/>
  <c r="H22" i="2"/>
  <c r="V14" i="16" s="1"/>
  <c r="G22" i="2"/>
  <c r="U14" i="16" s="1"/>
  <c r="F22" i="2"/>
  <c r="E22" i="2"/>
  <c r="S14" i="16" s="1"/>
  <c r="D22" i="2"/>
  <c r="C22" i="2"/>
  <c r="Q14" i="16" s="1"/>
  <c r="B22" i="2"/>
  <c r="P14" i="16" s="1"/>
  <c r="E20" i="3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53" i="4"/>
  <c r="P30" i="18" s="1"/>
  <c r="B49" i="4"/>
  <c r="B48" i="4"/>
  <c r="B37" i="4"/>
  <c r="B29" i="4"/>
  <c r="P15" i="18" s="1"/>
  <c r="B17" i="4"/>
  <c r="B13" i="4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27" i="18"/>
  <c r="P28" i="18"/>
  <c r="P29" i="18"/>
  <c r="P20" i="18"/>
  <c r="P21" i="18"/>
  <c r="P23" i="18"/>
  <c r="P24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F27" i="1"/>
  <c r="F31" i="1"/>
  <c r="Q80" i="15" s="1"/>
  <c r="F38" i="1"/>
  <c r="F42" i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E23" i="1"/>
  <c r="P71" i="15" s="1"/>
  <c r="E27" i="1"/>
  <c r="E31" i="1"/>
  <c r="P80" i="15" s="1"/>
  <c r="E38" i="1"/>
  <c r="P87" i="15" s="1"/>
  <c r="E42" i="1"/>
  <c r="P91" i="15" s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33" i="15"/>
  <c r="P33" i="15"/>
  <c r="A33" i="15"/>
  <c r="A55" i="15"/>
  <c r="C9" i="1"/>
  <c r="Q4" i="15" s="1"/>
  <c r="C17" i="1"/>
  <c r="C25" i="1"/>
  <c r="Q20" i="15" s="1"/>
  <c r="C31" i="1"/>
  <c r="C38" i="1"/>
  <c r="Q34" i="15" s="1"/>
  <c r="C41" i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C68" i="4"/>
  <c r="Q36" i="18" s="1"/>
  <c r="D68" i="4"/>
  <c r="C64" i="4"/>
  <c r="D64" i="4"/>
  <c r="C63" i="4"/>
  <c r="D63" i="4"/>
  <c r="C48" i="4"/>
  <c r="Q26" i="18" s="1"/>
  <c r="C55" i="4"/>
  <c r="Q31" i="18" s="1"/>
  <c r="D55" i="4"/>
  <c r="R31" i="18" s="1"/>
  <c r="C53" i="4"/>
  <c r="Q30" i="18" s="1"/>
  <c r="D53" i="4"/>
  <c r="R30" i="18" s="1"/>
  <c r="D48" i="4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Q19" i="18" s="1"/>
  <c r="D37" i="4"/>
  <c r="R19" i="18" s="1"/>
  <c r="C17" i="4"/>
  <c r="C13" i="4"/>
  <c r="Q6" i="18" s="1"/>
  <c r="D13" i="4"/>
  <c r="R6" i="18" s="1"/>
  <c r="U4" i="17"/>
  <c r="X3" i="17"/>
  <c r="S17" i="16"/>
  <c r="T17" i="16"/>
  <c r="S15" i="16"/>
  <c r="V15" i="16"/>
  <c r="P15" i="16"/>
  <c r="R14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T4" i="16" s="1"/>
  <c r="G9" i="2"/>
  <c r="U4" i="16" s="1"/>
  <c r="H9" i="2"/>
  <c r="V4" i="16" s="1"/>
  <c r="B9" i="2"/>
  <c r="P4" i="16" s="1"/>
  <c r="P4" i="15"/>
  <c r="R32" i="18"/>
  <c r="R36" i="18"/>
  <c r="Q9" i="18"/>
  <c r="Q32" i="18"/>
  <c r="R26" i="18"/>
  <c r="R33" i="18"/>
  <c r="Q33" i="18"/>
  <c r="S5" i="17"/>
  <c r="C44" i="4"/>
  <c r="C11" i="4" s="1"/>
  <c r="Q67" i="15"/>
  <c r="V3" i="17"/>
  <c r="P2" i="25"/>
  <c r="T2" i="25"/>
  <c r="Q2" i="25"/>
  <c r="U2" i="25"/>
  <c r="T14" i="16" l="1"/>
  <c r="G20" i="3"/>
  <c r="U5" i="17" s="1"/>
  <c r="U2" i="31"/>
  <c r="F47" i="1"/>
  <c r="F59" i="1" s="1"/>
  <c r="Q104" i="15" s="1"/>
  <c r="B8" i="2"/>
  <c r="B20" i="2" s="1"/>
  <c r="P13" i="16" s="1"/>
  <c r="K8" i="3"/>
  <c r="Y3" i="17" s="1"/>
  <c r="F65" i="5"/>
  <c r="T56" i="20" s="1"/>
  <c r="E21" i="9"/>
  <c r="C21" i="9"/>
  <c r="R9" i="27"/>
  <c r="C32" i="10"/>
  <c r="Q23" i="28" s="1"/>
  <c r="G75" i="5"/>
  <c r="U62" i="20" s="1"/>
  <c r="U58" i="20"/>
  <c r="G10" i="6"/>
  <c r="U3" i="24" s="1"/>
  <c r="G75" i="6"/>
  <c r="U68" i="24" s="1"/>
  <c r="G113" i="6"/>
  <c r="U105" i="24" s="1"/>
  <c r="U3" i="17"/>
  <c r="Q25" i="18"/>
  <c r="C72" i="4"/>
  <c r="B47" i="1"/>
  <c r="B62" i="1" s="1"/>
  <c r="P54" i="15" s="1"/>
  <c r="E6" i="1"/>
  <c r="G59" i="5"/>
  <c r="U51" i="20" s="1"/>
  <c r="F21" i="9"/>
  <c r="T13" i="27" s="1"/>
  <c r="D21" i="9"/>
  <c r="R13" i="27" s="1"/>
  <c r="G32" i="10"/>
  <c r="U23" i="28" s="1"/>
  <c r="Q2" i="31"/>
  <c r="F29" i="13"/>
  <c r="T22" i="31" s="1"/>
  <c r="J20" i="3"/>
  <c r="X5" i="17" s="1"/>
  <c r="K14" i="3"/>
  <c r="Y4" i="17" s="1"/>
  <c r="I20" i="3"/>
  <c r="W5" i="17" s="1"/>
  <c r="H8" i="2"/>
  <c r="G8" i="2"/>
  <c r="P3" i="16"/>
  <c r="F8" i="2"/>
  <c r="F20" i="2" s="1"/>
  <c r="T13" i="16" s="1"/>
  <c r="E8" i="2"/>
  <c r="E20" i="2" s="1"/>
  <c r="S13" i="16" s="1"/>
  <c r="Q95" i="15"/>
  <c r="C47" i="1"/>
  <c r="C62" i="1" s="1"/>
  <c r="Q54" i="15" s="1"/>
  <c r="T20" i="27"/>
  <c r="U21" i="27"/>
  <c r="S20" i="27"/>
  <c r="R20" i="27"/>
  <c r="U20" i="27"/>
  <c r="G21" i="9"/>
  <c r="Q20" i="27"/>
  <c r="P20" i="27"/>
  <c r="R2" i="27"/>
  <c r="D33" i="9"/>
  <c r="R24" i="27" s="1"/>
  <c r="F33" i="9"/>
  <c r="T24" i="27" s="1"/>
  <c r="B43" i="8"/>
  <c r="P35" i="26" s="1"/>
  <c r="C9" i="8"/>
  <c r="Q2" i="26" s="1"/>
  <c r="Q12" i="26"/>
  <c r="D29" i="7"/>
  <c r="R4" i="25" s="1"/>
  <c r="B29" i="7"/>
  <c r="P4" i="25" s="1"/>
  <c r="G150" i="6"/>
  <c r="U142" i="24" s="1"/>
  <c r="U86" i="24"/>
  <c r="G58" i="6"/>
  <c r="U51" i="24" s="1"/>
  <c r="C9" i="6"/>
  <c r="Q2" i="24" s="1"/>
  <c r="Q31" i="24"/>
  <c r="E9" i="6"/>
  <c r="S2" i="24" s="1"/>
  <c r="G38" i="6"/>
  <c r="U31" i="24" s="1"/>
  <c r="S11" i="24"/>
  <c r="C65" i="5"/>
  <c r="Q56" i="20" s="1"/>
  <c r="G37" i="5"/>
  <c r="U31" i="20" s="1"/>
  <c r="B41" i="5"/>
  <c r="P34" i="20" s="1"/>
  <c r="P22" i="20"/>
  <c r="E41" i="5"/>
  <c r="F41" i="5"/>
  <c r="D41" i="5"/>
  <c r="D72" i="4"/>
  <c r="R38" i="18" s="1"/>
  <c r="B72" i="4"/>
  <c r="D44" i="4"/>
  <c r="B44" i="4"/>
  <c r="B11" i="4" s="1"/>
  <c r="P5" i="18" s="1"/>
  <c r="P19" i="18"/>
  <c r="R37" i="18"/>
  <c r="C57" i="4"/>
  <c r="C59" i="4" s="1"/>
  <c r="P6" i="18"/>
  <c r="D57" i="4"/>
  <c r="D59" i="4" s="1"/>
  <c r="A2" i="1"/>
  <c r="A2" i="3"/>
  <c r="A2" i="5"/>
  <c r="W3" i="17"/>
  <c r="H20" i="3"/>
  <c r="V5" i="17" s="1"/>
  <c r="K20" i="3"/>
  <c r="Y5" i="17" s="1"/>
  <c r="F29" i="7"/>
  <c r="T4" i="25" s="1"/>
  <c r="A2" i="12"/>
  <c r="A2" i="11"/>
  <c r="Q5" i="18"/>
  <c r="C8" i="4"/>
  <c r="C21" i="4" s="1"/>
  <c r="Q42" i="15"/>
  <c r="Q38" i="18"/>
  <c r="C74" i="4"/>
  <c r="Q39" i="18" s="1"/>
  <c r="F79" i="1"/>
  <c r="Q119" i="15" s="1"/>
  <c r="B57" i="4"/>
  <c r="B59" i="4" s="1"/>
  <c r="P26" i="18"/>
  <c r="B65" i="5"/>
  <c r="P37" i="20"/>
  <c r="G54" i="5"/>
  <c r="U46" i="20" s="1"/>
  <c r="U21" i="24"/>
  <c r="F84" i="6"/>
  <c r="T76" i="24" s="1"/>
  <c r="T85" i="24"/>
  <c r="P42" i="15"/>
  <c r="S3" i="16"/>
  <c r="C8" i="2"/>
  <c r="D8" i="2"/>
  <c r="E79" i="1"/>
  <c r="P119" i="15" s="1"/>
  <c r="P106" i="15"/>
  <c r="E47" i="1"/>
  <c r="P32" i="18"/>
  <c r="U48" i="20"/>
  <c r="G45" i="5"/>
  <c r="B84" i="6"/>
  <c r="P76" i="24" s="1"/>
  <c r="F9" i="6"/>
  <c r="T11" i="24"/>
  <c r="D84" i="6"/>
  <c r="R76" i="24" s="1"/>
  <c r="D9" i="6"/>
  <c r="E84" i="6"/>
  <c r="S76" i="24" s="1"/>
  <c r="S85" i="24"/>
  <c r="C84" i="6"/>
  <c r="Q76" i="24" s="1"/>
  <c r="Q85" i="24"/>
  <c r="P3" i="25"/>
  <c r="C29" i="7"/>
  <c r="Q4" i="25" s="1"/>
  <c r="Q3" i="25"/>
  <c r="F43" i="8"/>
  <c r="D43" i="8"/>
  <c r="F9" i="8"/>
  <c r="T2" i="26" s="1"/>
  <c r="T12" i="26"/>
  <c r="D9" i="8"/>
  <c r="R2" i="26" s="1"/>
  <c r="R12" i="26"/>
  <c r="G31" i="12"/>
  <c r="U23" i="30" s="1"/>
  <c r="U2" i="30"/>
  <c r="C31" i="12"/>
  <c r="Q23" i="30" s="1"/>
  <c r="Q2" i="30"/>
  <c r="T2" i="31"/>
  <c r="G16" i="5"/>
  <c r="U10" i="20" s="1"/>
  <c r="B29" i="13"/>
  <c r="P22" i="31" s="1"/>
  <c r="P2" i="31"/>
  <c r="G85" i="6"/>
  <c r="G103" i="6"/>
  <c r="U95" i="24" s="1"/>
  <c r="G123" i="6"/>
  <c r="U115" i="24" s="1"/>
  <c r="G146" i="6"/>
  <c r="U138" i="24" s="1"/>
  <c r="U141" i="24"/>
  <c r="U6" i="27"/>
  <c r="G12" i="9"/>
  <c r="A2" i="6"/>
  <c r="A2" i="9"/>
  <c r="E29" i="7"/>
  <c r="S4" i="25" s="1"/>
  <c r="S3" i="25"/>
  <c r="G29" i="7"/>
  <c r="U4" i="25" s="1"/>
  <c r="U3" i="25"/>
  <c r="B9" i="8"/>
  <c r="P2" i="26" s="1"/>
  <c r="E43" i="8"/>
  <c r="S45" i="26"/>
  <c r="C43" i="8"/>
  <c r="Q45" i="26"/>
  <c r="E9" i="8"/>
  <c r="S2" i="26" s="1"/>
  <c r="U13" i="27"/>
  <c r="S13" i="27"/>
  <c r="E33" i="9"/>
  <c r="S24" i="27" s="1"/>
  <c r="Q13" i="27"/>
  <c r="C33" i="9"/>
  <c r="Q24" i="27" s="1"/>
  <c r="P15" i="28"/>
  <c r="B32" i="10"/>
  <c r="P23" i="28" s="1"/>
  <c r="T15" i="28"/>
  <c r="F32" i="10"/>
  <c r="T23" i="28" s="1"/>
  <c r="R15" i="28"/>
  <c r="D32" i="10"/>
  <c r="R23" i="28" s="1"/>
  <c r="E31" i="12"/>
  <c r="S23" i="30" s="1"/>
  <c r="S2" i="30"/>
  <c r="G27" i="8"/>
  <c r="U20" i="26" s="1"/>
  <c r="U21" i="26"/>
  <c r="G10" i="8"/>
  <c r="U5" i="26"/>
  <c r="G37" i="8"/>
  <c r="U30" i="26" s="1"/>
  <c r="U31" i="26"/>
  <c r="G44" i="8"/>
  <c r="U37" i="26"/>
  <c r="G61" i="8"/>
  <c r="U53" i="26" s="1"/>
  <c r="P13" i="27"/>
  <c r="B33" i="9"/>
  <c r="P24" i="27" s="1"/>
  <c r="G30" i="11"/>
  <c r="U22" i="29" s="1"/>
  <c r="U2" i="29"/>
  <c r="E30" i="11"/>
  <c r="S22" i="29" s="1"/>
  <c r="S2" i="29"/>
  <c r="C30" i="11"/>
  <c r="Q22" i="29" s="1"/>
  <c r="Q2" i="29"/>
  <c r="G28" i="5"/>
  <c r="U22" i="20" s="1"/>
  <c r="G62" i="6"/>
  <c r="U55" i="24" s="1"/>
  <c r="G137" i="6"/>
  <c r="U129" i="24" s="1"/>
  <c r="B9" i="6"/>
  <c r="G19" i="8"/>
  <c r="U12" i="26" s="1"/>
  <c r="C70" i="5" l="1"/>
  <c r="D74" i="4"/>
  <c r="R39" i="18" s="1"/>
  <c r="V3" i="16"/>
  <c r="H20" i="2"/>
  <c r="V13" i="16" s="1"/>
  <c r="U3" i="16"/>
  <c r="G20" i="2"/>
  <c r="U13" i="16" s="1"/>
  <c r="T3" i="16"/>
  <c r="F81" i="1"/>
  <c r="Q120" i="15" s="1"/>
  <c r="S34" i="20"/>
  <c r="E70" i="5"/>
  <c r="R34" i="20"/>
  <c r="D70" i="5"/>
  <c r="T34" i="20"/>
  <c r="F70" i="5"/>
  <c r="P38" i="18"/>
  <c r="B74" i="4"/>
  <c r="P39" i="18" s="1"/>
  <c r="D11" i="4"/>
  <c r="R25" i="18"/>
  <c r="B8" i="4"/>
  <c r="B21" i="4" s="1"/>
  <c r="B23" i="4" s="1"/>
  <c r="B25" i="4" s="1"/>
  <c r="P25" i="18"/>
  <c r="Q35" i="26"/>
  <c r="C77" i="8"/>
  <c r="Q68" i="26" s="1"/>
  <c r="S35" i="26"/>
  <c r="E77" i="8"/>
  <c r="S68" i="26" s="1"/>
  <c r="U5" i="27"/>
  <c r="G9" i="9"/>
  <c r="G84" i="6"/>
  <c r="U76" i="24" s="1"/>
  <c r="U77" i="24"/>
  <c r="R35" i="26"/>
  <c r="D77" i="8"/>
  <c r="R68" i="26" s="1"/>
  <c r="R2" i="24"/>
  <c r="D159" i="6"/>
  <c r="R150" i="24" s="1"/>
  <c r="B77" i="8"/>
  <c r="P68" i="26" s="1"/>
  <c r="E59" i="1"/>
  <c r="P95" i="15"/>
  <c r="C20" i="2"/>
  <c r="Q13" i="16" s="1"/>
  <c r="Q3" i="16"/>
  <c r="G9" i="6"/>
  <c r="P56" i="20"/>
  <c r="B70" i="5"/>
  <c r="Q2" i="18"/>
  <c r="B159" i="6"/>
  <c r="P150" i="24" s="1"/>
  <c r="P2" i="24"/>
  <c r="G43" i="8"/>
  <c r="U36" i="26"/>
  <c r="G9" i="8"/>
  <c r="U2" i="26" s="1"/>
  <c r="U3" i="26"/>
  <c r="G41" i="5"/>
  <c r="T35" i="26"/>
  <c r="F77" i="8"/>
  <c r="T68" i="26" s="1"/>
  <c r="E159" i="6"/>
  <c r="S150" i="24" s="1"/>
  <c r="T2" i="24"/>
  <c r="F159" i="6"/>
  <c r="T150" i="24" s="1"/>
  <c r="G65" i="5"/>
  <c r="U56" i="20" s="1"/>
  <c r="U37" i="20"/>
  <c r="P2" i="18"/>
  <c r="R3" i="16"/>
  <c r="D20" i="2"/>
  <c r="R13" i="16" s="1"/>
  <c r="C159" i="6"/>
  <c r="Q150" i="24" s="1"/>
  <c r="D8" i="4" l="1"/>
  <c r="R5" i="18"/>
  <c r="G159" i="6"/>
  <c r="U150" i="24" s="1"/>
  <c r="U2" i="24"/>
  <c r="P104" i="15"/>
  <c r="E81" i="1"/>
  <c r="P120" i="15" s="1"/>
  <c r="U2" i="27"/>
  <c r="G33" i="9"/>
  <c r="U24" i="27" s="1"/>
  <c r="P12" i="18"/>
  <c r="G42" i="5"/>
  <c r="U35" i="20" s="1"/>
  <c r="U34" i="20"/>
  <c r="G70" i="5"/>
  <c r="U35" i="26"/>
  <c r="G77" i="8"/>
  <c r="U68" i="26" s="1"/>
  <c r="C23" i="4"/>
  <c r="Q12" i="18"/>
  <c r="D21" i="4" l="1"/>
  <c r="R2" i="18"/>
  <c r="C25" i="4"/>
  <c r="Q13" i="18"/>
  <c r="P13" i="18"/>
  <c r="D23" i="4" l="1"/>
  <c r="R12" i="18"/>
  <c r="B33" i="4"/>
  <c r="P18" i="18" s="1"/>
  <c r="P14" i="18"/>
  <c r="C33" i="4"/>
  <c r="Q18" i="18" s="1"/>
  <c r="Q14" i="18"/>
  <c r="R13" i="18" l="1"/>
  <c r="D25" i="4"/>
  <c r="R14" i="18" l="1"/>
  <c r="D33" i="4"/>
  <c r="R18" i="18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<sst xmlns="http://schemas.openxmlformats.org/spreadsheetml/2006/main" count="4243" uniqueCount="3305">
  <si>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</si>
  <si>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</si>
  <si>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</si>
  <si>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</si>
  <si>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</si>
  <si>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</si>
  <si>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</si>
  <si>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</si>
  <si>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</si>
  <si>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</si>
  <si>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</si>
  <si>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</si>
  <si>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</si>
  <si>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</si>
  <si>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</si>
  <si>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</si>
  <si>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</si>
  <si>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</si>
  <si>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</si>
  <si>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</si>
  <si>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</si>
  <si>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</si>
  <si>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</si>
  <si>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</si>
  <si>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</si>
  <si>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</si>
  <si>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</si>
  <si>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</si>
  <si>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</si>
  <si>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</si>
  <si>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</si>
  <si>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</si>
  <si>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</si>
  <si>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</si>
  <si>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</si>
  <si>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</si>
  <si>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</si>
  <si>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</si>
  <si>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</si>
  <si>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</si>
  <si>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</si>
  <si>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</si>
  <si>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</si>
  <si>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</si>
  <si>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</si>
  <si>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</si>
  <si>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</si>
  <si>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</si>
  <si>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</si>
  <si>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</si>
  <si>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</si>
  <si>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</si>
  <si>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</si>
  <si>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</si>
  <si>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</si>
  <si>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</si>
  <si>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</si>
  <si>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</si>
  <si>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</si>
  <si>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</si>
  <si>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</si>
  <si>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</si>
  <si>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</si>
  <si>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</si>
  <si>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</si>
  <si>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</si>
  <si>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</si>
  <si>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</si>
  <si>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</si>
  <si>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</si>
  <si>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</si>
  <si>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</si>
  <si>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</si>
  <si>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</si>
  <si>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</si>
  <si>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</si>
  <si>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</si>
  <si>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</si>
  <si>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</si>
  <si>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</si>
  <si>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</si>
  <si>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</si>
  <si>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</si>
  <si>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</si>
  <si>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</si>
  <si>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</si>
  <si>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</si>
  <si>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</si>
  <si>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</si>
  <si>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</si>
  <si>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</si>
  <si>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</si>
  <si>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</si>
  <si>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</si>
  <si>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</si>
  <si>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</si>
  <si>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</si>
  <si>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</si>
  <si>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</si>
  <si>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</si>
  <si>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</si>
  <si>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</si>
  <si>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</si>
  <si>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</si>
  <si>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</si>
  <si>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</si>
  <si>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</si>
  <si>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</si>
  <si>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</si>
  <si>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</si>
  <si>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</si>
  <si>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</si>
  <si>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</si>
  <si>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</si>
  <si>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</si>
  <si>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</si>
  <si>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</si>
  <si>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</si>
  <si>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</si>
  <si>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</si>
  <si>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</si>
  <si>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</si>
  <si>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</si>
  <si>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</si>
  <si>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</si>
  <si>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</si>
  <si>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</si>
  <si>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</si>
  <si>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</si>
  <si>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</si>
  <si>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</si>
  <si>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</si>
  <si>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</si>
  <si>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</si>
  <si>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</si>
  <si>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</si>
  <si>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</si>
  <si>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</si>
  <si>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</si>
  <si>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</si>
  <si>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</si>
  <si>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</si>
  <si>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</si>
  <si>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</si>
  <si>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</si>
  <si>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</si>
  <si>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</si>
  <si>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</si>
  <si>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</si>
  <si>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</si>
  <si>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</si>
  <si>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</si>
  <si>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</si>
  <si>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</si>
  <si>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</si>
  <si>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</si>
  <si>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</si>
  <si>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</si>
  <si>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</si>
  <si>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</si>
  <si>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</si>
  <si>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</si>
  <si>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</si>
  <si>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</si>
  <si>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</si>
  <si>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</si>
  <si>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</si>
  <si>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</si>
  <si>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</si>
  <si>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</si>
  <si>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</si>
  <si>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</si>
  <si>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</si>
  <si>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</si>
  <si>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</si>
  <si>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</si>
  <si>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</si>
  <si>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</si>
  <si>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</si>
  <si>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</si>
  <si>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</si>
  <si>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</si>
  <si>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</si>
  <si>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</si>
  <si>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</si>
  <si>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</si>
  <si>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</si>
  <si>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</si>
  <si>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</si>
  <si>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</si>
  <si>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</si>
  <si>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</si>
  <si>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</si>
  <si>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</si>
  <si>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</si>
  <si>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</si>
  <si>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</si>
  <si>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</si>
  <si>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</si>
  <si>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</si>
  <si>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</si>
  <si>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</si>
  <si>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</si>
  <si>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</si>
  <si>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</si>
  <si>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</si>
  <si>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</si>
  <si>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</si>
  <si>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</si>
  <si>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</si>
  <si>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</si>
  <si>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</si>
  <si>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</si>
  <si>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</si>
  <si>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</si>
  <si>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</si>
  <si>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</si>
  <si>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</si>
  <si>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</si>
  <si>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</si>
  <si>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</si>
  <si>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</si>
  <si>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</si>
  <si>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</si>
  <si>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</si>
  <si>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</si>
  <si>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</si>
  <si>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</si>
  <si>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</si>
  <si>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</si>
  <si>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</si>
  <si>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</si>
  <si>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</si>
  <si>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</si>
  <si>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</si>
  <si>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</si>
  <si>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</si>
  <si>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</si>
  <si>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</si>
  <si>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</si>
  <si>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</si>
  <si>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</si>
  <si>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</si>
  <si>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</si>
  <si>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</si>
  <si>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</si>
  <si>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</si>
  <si>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</si>
  <si>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</si>
  <si>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</si>
  <si>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</si>
  <si>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</si>
  <si>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</si>
  <si>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</si>
  <si>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</si>
  <si>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</si>
  <si>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</si>
  <si>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</si>
  <si>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</si>
  <si>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</si>
  <si>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</si>
  <si>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</si>
  <si>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</si>
  <si>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</si>
  <si>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</si>
  <si>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</si>
  <si>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</si>
  <si>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</si>
  <si>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</si>
  <si>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</si>
  <si>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</si>
  <si>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</si>
  <si>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</si>
  <si>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</si>
  <si>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</si>
  <si>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</si>
  <si>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</si>
  <si>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</si>
  <si>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</si>
  <si>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</si>
  <si>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</si>
  <si>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</si>
  <si>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</si>
  <si>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</si>
  <si>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</si>
  <si>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</si>
  <si>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</si>
  <si>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</si>
  <si>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</si>
  <si>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</si>
  <si>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</si>
  <si>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</si>
  <si>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</si>
  <si>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</si>
  <si>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</si>
  <si>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</si>
  <si>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</si>
  <si>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</si>
  <si>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</si>
  <si>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</si>
  <si>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</si>
  <si>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</si>
  <si>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</si>
  <si>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</si>
  <si>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</si>
  <si>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</si>
  <si>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</si>
  <si>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</si>
  <si>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</si>
  <si>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</si>
  <si>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</si>
  <si>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</si>
  <si>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</si>
  <si>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</si>
  <si>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</si>
  <si>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</si>
  <si>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</si>
  <si>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</si>
  <si>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</si>
  <si>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</si>
  <si>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</si>
  <si>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</si>
  <si>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</si>
  <si>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</si>
  <si>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</si>
  <si>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</si>
  <si>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</si>
  <si>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</si>
  <si>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</si>
  <si>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</si>
  <si>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</si>
  <si>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</si>
  <si>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</si>
  <si>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</si>
  <si>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</si>
  <si>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</si>
  <si>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</si>
  <si>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</si>
  <si>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</si>
  <si>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</si>
  <si>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</si>
  <si>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</si>
  <si>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</si>
  <si>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</si>
  <si>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</si>
  <si>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</si>
  <si>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</si>
  <si>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</si>
  <si>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</si>
  <si>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</si>
  <si>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</si>
  <si>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</si>
  <si>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</si>
  <si>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</si>
  <si>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</si>
  <si>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</si>
  <si>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</si>
  <si>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</si>
  <si>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</si>
  <si>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</si>
  <si>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</si>
  <si>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</si>
  <si>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</si>
  <si>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</si>
  <si>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</si>
  <si>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</si>
  <si>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</si>
  <si>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</si>
  <si>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</si>
  <si>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</si>
  <si>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</si>
  <si>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</si>
  <si>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</si>
  <si>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</si>
  <si>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</si>
  <si>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</si>
  <si>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</si>
  <si>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</si>
  <si>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</si>
  <si>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</si>
  <si>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</si>
  <si>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</si>
  <si>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</si>
  <si>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</si>
  <si>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</si>
  <si>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</si>
  <si>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</si>
  <si>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</si>
  <si>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</si>
  <si>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</si>
  <si>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</si>
  <si>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</si>
  <si>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</si>
  <si>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</si>
  <si>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</si>
  <si>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</si>
  <si>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</si>
  <si>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</si>
  <si>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</si>
  <si>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</si>
  <si>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</si>
  <si>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</si>
  <si>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</si>
  <si>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</si>
  <si>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</si>
  <si>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</si>
  <si>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</si>
  <si>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</si>
  <si>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</si>
  <si>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</si>
  <si>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</si>
  <si>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</si>
  <si>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</si>
  <si>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</si>
  <si>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</si>
  <si>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</si>
  <si>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</si>
  <si>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</si>
  <si>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</si>
  <si>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</si>
  <si>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</si>
  <si>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</si>
  <si>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</si>
  <si>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</si>
  <si>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</si>
  <si>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</si>
  <si>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</si>
  <si>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</si>
  <si>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</si>
  <si>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</si>
  <si>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</si>
  <si>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</si>
  <si>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</si>
  <si>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</si>
  <si>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</si>
  <si>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</si>
  <si>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</si>
  <si>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</si>
  <si>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</si>
  <si>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</si>
  <si>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</si>
  <si>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</si>
  <si>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</si>
  <si>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</si>
  <si>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</si>
  <si>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</si>
  <si>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</si>
  <si>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</si>
  <si>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</si>
  <si>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</si>
  <si>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</si>
  <si>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</si>
  <si>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</si>
  <si>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</si>
  <si>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</si>
  <si>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</si>
  <si>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</si>
  <si>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</si>
  <si>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</si>
  <si>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</si>
  <si>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</si>
  <si>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</si>
  <si>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</si>
  <si>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</si>
  <si>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</si>
  <si>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</si>
  <si>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</si>
  <si>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</si>
  <si>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</si>
  <si>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</si>
  <si>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</si>
  <si>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</si>
  <si>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</si>
  <si>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</si>
  <si>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</si>
  <si>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</si>
  <si>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</si>
  <si>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</si>
  <si>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</si>
  <si>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</si>
  <si>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</si>
  <si>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</si>
  <si>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</si>
  <si>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</si>
  <si>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</si>
  <si>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</si>
  <si>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</si>
  <si>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</si>
  <si>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</si>
  <si>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</si>
  <si>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</si>
  <si>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</si>
  <si>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</si>
  <si>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</si>
  <si>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</si>
  <si>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</si>
  <si>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</si>
  <si>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</si>
  <si>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</si>
  <si>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</si>
  <si>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</si>
  <si>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</si>
  <si>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</si>
  <si>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</si>
  <si>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</si>
  <si>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</si>
  <si>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</si>
  <si>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</si>
  <si>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</si>
  <si>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</si>
  <si>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</si>
  <si>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</si>
  <si>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</si>
  <si>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</si>
  <si>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</si>
  <si>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</si>
  <si>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</si>
  <si>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</si>
  <si>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</si>
  <si>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</si>
  <si>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</si>
  <si>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</si>
  <si>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</si>
  <si>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</si>
  <si>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</si>
  <si>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</si>
  <si>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</si>
  <si>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</si>
  <si>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</si>
  <si>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</si>
  <si>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</si>
  <si>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</si>
  <si>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</si>
  <si>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</si>
  <si>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</si>
  <si>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</si>
  <si>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</si>
  <si>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</si>
  <si>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</si>
  <si>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</si>
  <si>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</si>
  <si>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</si>
  <si>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</si>
  <si>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</si>
  <si>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</si>
  <si>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</si>
  <si>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</si>
  <si>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</si>
  <si>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</si>
  <si>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</si>
  <si>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</si>
  <si>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</si>
  <si>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</si>
  <si>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</si>
  <si>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</si>
  <si>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</si>
  <si>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</si>
  <si>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</si>
  <si>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</si>
  <si>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</si>
  <si>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</si>
  <si>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</si>
  <si>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</si>
  <si>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</si>
  <si>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</si>
  <si>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</si>
  <si>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</si>
  <si>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</si>
  <si>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</si>
  <si>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</si>
  <si>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</si>
  <si>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</si>
  <si>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</si>
  <si>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</si>
  <si>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</si>
  <si>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</si>
  <si>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</si>
  <si>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</si>
  <si>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</si>
  <si>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</si>
  <si>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</si>
  <si>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</si>
  <si>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</si>
  <si>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</si>
  <si>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</si>
  <si>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</si>
  <si>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</si>
  <si>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</si>
  <si>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</si>
  <si>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</si>
  <si>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</si>
  <si>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</si>
  <si>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</si>
  <si>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</si>
  <si>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</si>
  <si>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</si>
  <si>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</si>
  <si>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</si>
  <si>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</si>
  <si>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</si>
  <si>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</si>
  <si>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</si>
  <si>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</si>
  <si>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</si>
  <si>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</si>
  <si>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</si>
  <si>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</si>
  <si>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</si>
  <si>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</si>
  <si>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</si>
  <si>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</si>
  <si>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</si>
  <si>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</si>
  <si>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</si>
  <si>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</si>
  <si>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</si>
  <si>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</si>
  <si>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</si>
  <si>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</si>
  <si>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</si>
  <si>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</si>
  <si>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</si>
  <si>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</si>
  <si>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</si>
  <si>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</si>
  <si>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</si>
  <si>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</si>
  <si>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</si>
  <si>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</si>
  <si>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</si>
  <si>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</si>
  <si>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</si>
  <si>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</si>
  <si>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</si>
  <si>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</si>
  <si>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</si>
  <si>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</si>
  <si>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</si>
  <si>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</si>
  <si>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</si>
  <si>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</si>
  <si>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</si>
  <si>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</si>
  <si>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</si>
  <si>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</si>
  <si>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</si>
  <si>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</si>
  <si>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</si>
  <si>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</si>
  <si>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</si>
  <si>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</si>
  <si>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</si>
  <si>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</si>
  <si>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</si>
  <si>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</si>
  <si>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</si>
  <si>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</si>
  <si>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</si>
  <si>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</si>
  <si>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</si>
  <si>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</si>
  <si>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</si>
  <si>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</si>
  <si>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</si>
  <si>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</si>
  <si>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</si>
  <si>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</si>
  <si>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</si>
  <si>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</si>
  <si>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</si>
  <si>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</si>
  <si>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</si>
  <si>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</si>
  <si>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</si>
  <si>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</si>
  <si>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</si>
  <si>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</si>
  <si>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</si>
  <si>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</si>
  <si>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</si>
  <si>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</si>
  <si>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</si>
  <si>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</si>
  <si>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</si>
  <si>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</si>
  <si>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</si>
  <si>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</si>
  <si>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</si>
  <si>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</si>
  <si>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</si>
  <si>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</si>
  <si>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</si>
  <si>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</si>
  <si>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</si>
  <si>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</si>
  <si>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</si>
  <si>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</si>
  <si>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</si>
  <si>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</si>
  <si>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</si>
  <si>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</si>
  <si>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</si>
  <si>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</si>
  <si>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</si>
  <si>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</si>
  <si>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</si>
  <si>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</si>
  <si>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</si>
  <si>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</si>
  <si>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</si>
  <si>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</si>
  <si>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</si>
  <si>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</si>
  <si>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</si>
  <si>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</si>
  <si>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</si>
  <si>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</si>
  <si>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</si>
  <si>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</si>
  <si>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</si>
  <si>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</si>
  <si>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</si>
  <si>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</si>
  <si>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</si>
  <si>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</si>
  <si>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</si>
  <si>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</si>
  <si>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</si>
  <si>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</si>
  <si>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</si>
  <si>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</si>
  <si>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</si>
  <si>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</si>
  <si>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</si>
  <si>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</si>
  <si>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</si>
  <si>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</si>
  <si>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</si>
  <si>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</si>
  <si>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</si>
  <si>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</si>
  <si>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</si>
  <si>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</si>
  <si>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</si>
  <si>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</si>
  <si>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</si>
  <si>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</si>
  <si>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</si>
  <si>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</si>
  <si>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</si>
  <si>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</si>
  <si>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</si>
  <si>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</si>
  <si>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</si>
  <si>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</si>
  <si>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</si>
  <si>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</si>
  <si>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</si>
  <si>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</si>
  <si>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</si>
  <si>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</si>
  <si>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</si>
  <si>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</si>
  <si>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</si>
  <si>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</si>
  <si>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</si>
  <si>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</si>
  <si>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</si>
  <si>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</si>
  <si>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</si>
  <si>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</si>
  <si>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</si>
  <si>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</si>
  <si>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</si>
  <si>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</si>
  <si>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</si>
  <si>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</si>
  <si>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</si>
  <si>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</si>
  <si>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</si>
  <si>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</si>
  <si>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</si>
  <si>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</si>
  <si>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</si>
  <si>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</si>
  <si>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</si>
  <si>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</si>
  <si>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</si>
  <si>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</si>
  <si>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</si>
  <si>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</si>
  <si>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</si>
  <si>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</si>
  <si>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</si>
  <si>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</si>
  <si>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</si>
  <si>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</si>
  <si>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</si>
  <si>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</si>
  <si>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</si>
  <si>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</si>
  <si>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</si>
  <si>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</si>
  <si>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</si>
  <si>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</si>
  <si>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</si>
  <si>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</si>
  <si>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</si>
  <si>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</si>
  <si>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</si>
  <si>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</si>
  <si>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</si>
  <si>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</si>
  <si>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</si>
  <si>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</si>
  <si>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</si>
  <si>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</si>
  <si>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</si>
  <si>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</si>
  <si>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</si>
  <si>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</si>
  <si>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</si>
  <si>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</si>
  <si>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</si>
  <si>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</si>
  <si>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</si>
  <si>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</si>
  <si>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</si>
  <si>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</si>
  <si>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</si>
  <si>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</si>
  <si>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</si>
  <si>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</si>
  <si>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</si>
  <si>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</si>
  <si>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</si>
  <si>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</si>
  <si>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</si>
  <si>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</si>
  <si>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</si>
  <si>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</si>
  <si>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</si>
  <si>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</si>
  <si>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</si>
  <si>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</si>
  <si>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</si>
  <si>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</si>
  <si>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</si>
  <si>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</si>
  <si>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</si>
  <si>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</si>
  <si>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</si>
  <si>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</si>
  <si>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</si>
  <si>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</si>
  <si>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</si>
  <si>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</si>
  <si>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</si>
  <si>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</si>
  <si>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</si>
  <si>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</si>
  <si>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</si>
  <si>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</si>
  <si>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</si>
  <si>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</si>
  <si>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</si>
  <si>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</si>
  <si>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</si>
  <si>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</si>
  <si>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</si>
  <si>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</si>
  <si>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</si>
  <si>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</si>
  <si>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</si>
  <si>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</si>
  <si>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</si>
  <si>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</si>
  <si>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</si>
  <si>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</si>
  <si>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</si>
  <si>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</si>
  <si>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</si>
  <si>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</si>
  <si>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</si>
  <si>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</si>
  <si>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</si>
  <si>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</si>
  <si>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</si>
  <si>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</si>
  <si>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</si>
  <si>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</si>
  <si>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</si>
  <si>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</si>
  <si>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</si>
  <si>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</si>
  <si>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</si>
  <si>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</si>
  <si>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</si>
  <si>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</si>
  <si>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</si>
  <si>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</si>
  <si>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</si>
  <si>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</si>
  <si>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</si>
  <si>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</si>
  <si>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</si>
  <si>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</si>
  <si>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</si>
  <si>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</si>
  <si>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</si>
  <si>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</si>
  <si>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</si>
  <si>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</si>
  <si>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</si>
  <si>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</si>
  <si>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</si>
  <si>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</si>
  <si>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</si>
  <si>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</si>
  <si>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</si>
  <si>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</si>
  <si>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</si>
  <si>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</si>
  <si>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</si>
  <si>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</si>
  <si>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</si>
  <si>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</si>
  <si>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</si>
  <si>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</si>
  <si>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</si>
  <si>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</si>
  <si>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</si>
  <si>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</si>
  <si>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</si>
  <si>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</si>
  <si>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</si>
  <si>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</si>
  <si>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</si>
  <si>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</si>
  <si>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</si>
  <si>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</si>
  <si>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</si>
  <si>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</si>
  <si>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</si>
  <si>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</si>
  <si>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</si>
  <si>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</si>
  <si>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</si>
  <si>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</si>
  <si>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</si>
  <si>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</si>
  <si>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</si>
  <si>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</si>
  <si>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</si>
  <si>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</si>
  <si>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</si>
  <si>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</si>
  <si>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</si>
  <si>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</si>
  <si>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</si>
  <si>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</si>
  <si>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</si>
  <si>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</si>
  <si>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</si>
  <si>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</si>
  <si>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</si>
  <si>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</si>
  <si>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</si>
  <si>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</si>
  <si>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</si>
  <si>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</si>
  <si>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</si>
  <si>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</si>
  <si>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</si>
  <si>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</si>
  <si>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</si>
  <si>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</si>
  <si>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</si>
  <si>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</si>
  <si>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</si>
  <si>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</si>
  <si>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</si>
  <si>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</si>
  <si>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</si>
  <si>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</si>
  <si>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</si>
  <si>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</si>
  <si>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</si>
  <si>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</si>
  <si>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</si>
  <si>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</si>
  <si>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</si>
  <si>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</si>
  <si>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</si>
  <si>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</si>
  <si>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</si>
  <si>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</si>
  <si>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</si>
  <si>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</si>
  <si>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</si>
  <si>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</si>
  <si>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</si>
  <si>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</si>
  <si>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</si>
  <si>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</si>
  <si>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</si>
  <si>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</si>
  <si>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</si>
  <si>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</si>
  <si>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</si>
  <si>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</si>
  <si>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</si>
  <si>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</si>
  <si>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</si>
  <si>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</si>
  <si>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</si>
  <si>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</si>
  <si>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</si>
  <si>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</si>
  <si>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</si>
  <si>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</si>
  <si>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</si>
  <si>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</si>
  <si>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</si>
  <si>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</si>
  <si>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</si>
  <si>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</si>
  <si>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</si>
  <si>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</si>
  <si>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</si>
  <si>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</si>
  <si>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</si>
  <si>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</si>
  <si>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</si>
  <si>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</si>
  <si>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</si>
  <si>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</si>
  <si>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</si>
  <si>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</si>
  <si>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</si>
  <si>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</si>
  <si>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</si>
  <si>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</si>
  <si>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</si>
  <si>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</si>
  <si>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</si>
  <si>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</si>
  <si>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</si>
  <si>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</si>
  <si>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</si>
  <si>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</si>
  <si>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</si>
  <si>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</si>
  <si>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</si>
  <si>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</si>
  <si>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</si>
  <si>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</si>
  <si>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</si>
  <si>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</si>
  <si>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</si>
  <si>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</si>
  <si>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</si>
  <si>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</si>
  <si>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</si>
  <si>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</si>
  <si>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</si>
  <si>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</si>
  <si>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</si>
  <si>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</si>
  <si>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</si>
  <si>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</si>
  <si>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</si>
  <si>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</si>
  <si>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</si>
  <si>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</si>
  <si>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</si>
  <si>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</si>
  <si>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</si>
  <si>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</si>
  <si>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</si>
  <si>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</si>
  <si>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</si>
  <si>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</si>
  <si>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</si>
  <si>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</si>
  <si>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</si>
  <si>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</si>
  <si>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</si>
  <si>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</si>
  <si>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</si>
  <si>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</si>
  <si>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</si>
  <si>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</si>
  <si>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</si>
  <si>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</si>
  <si>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</si>
  <si>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</si>
  <si>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</si>
  <si>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</si>
  <si>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</si>
  <si>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</si>
  <si>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</si>
  <si>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</si>
  <si>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</si>
  <si>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</si>
  <si>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</si>
  <si>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</si>
  <si>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</si>
  <si>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</si>
  <si>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</si>
  <si>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</si>
  <si>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</si>
  <si>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</si>
  <si>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</si>
  <si>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</si>
  <si>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</si>
  <si>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</si>
  <si>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</si>
  <si>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</si>
  <si>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</si>
  <si>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</si>
  <si>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</si>
  <si>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</si>
  <si>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</si>
  <si>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</si>
  <si>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</si>
  <si>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</si>
  <si>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</si>
  <si>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</si>
  <si>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</si>
  <si>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</si>
  <si>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</si>
  <si>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</si>
  <si>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</si>
  <si>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</si>
  <si>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</si>
  <si>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</si>
  <si>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</si>
  <si>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</si>
  <si>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</si>
  <si>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</si>
  <si>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</si>
  <si>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</si>
  <si>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</si>
  <si>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</si>
  <si>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</si>
  <si>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</si>
  <si>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</si>
  <si>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</si>
  <si>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</si>
  <si>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</si>
  <si>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</si>
  <si>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</si>
  <si>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</si>
  <si>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</si>
  <si>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</si>
  <si>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</si>
  <si>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</si>
  <si>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</si>
  <si>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</si>
  <si>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</si>
  <si>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</si>
  <si>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</si>
  <si>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</si>
  <si>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</si>
  <si>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</si>
  <si>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</si>
  <si>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</si>
  <si>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</si>
  <si>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</si>
  <si>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</si>
  <si>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</si>
  <si>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</si>
  <si>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</si>
  <si>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</si>
  <si>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</si>
  <si>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</si>
  <si>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</si>
  <si>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</si>
  <si>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</si>
  <si>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</si>
  <si>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</si>
  <si>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</si>
  <si>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</si>
  <si>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</si>
  <si>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</si>
  <si>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</si>
  <si>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</si>
  <si>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</si>
  <si>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</si>
  <si>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</si>
  <si>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</si>
  <si>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</si>
  <si>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</si>
  <si>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</si>
  <si>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</si>
  <si>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</si>
  <si>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</si>
  <si>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</si>
  <si>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</si>
  <si>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</si>
  <si>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</si>
  <si>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</si>
  <si>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</si>
  <si>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</si>
  <si>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</si>
  <si>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</si>
  <si>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</si>
  <si>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</si>
  <si>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</si>
  <si>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</si>
  <si>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</si>
  <si>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</si>
  <si>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</si>
  <si>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</si>
  <si>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</si>
  <si>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</si>
  <si>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</si>
  <si>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</si>
  <si>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</si>
  <si>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</si>
  <si>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</si>
  <si>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</si>
  <si>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</si>
  <si>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</si>
  <si>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</si>
  <si>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</si>
  <si>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</si>
  <si>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</si>
  <si>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</si>
  <si>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</si>
  <si>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</si>
  <si>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</si>
  <si>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</si>
  <si>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</si>
  <si>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</si>
  <si>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</si>
  <si>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</si>
  <si>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</si>
  <si>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</si>
  <si>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</si>
  <si>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</si>
  <si>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</si>
  <si>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</si>
  <si>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</si>
  <si>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</si>
  <si>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</si>
  <si>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</si>
  <si>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</si>
  <si>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</si>
  <si>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</si>
  <si>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</si>
  <si>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</si>
  <si>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</si>
  <si>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</si>
  <si>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</si>
  <si>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</si>
  <si>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</si>
  <si>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</si>
  <si>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</si>
  <si>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</si>
  <si>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</si>
  <si>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</si>
  <si>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</si>
  <si>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</si>
  <si>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</si>
  <si>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</si>
  <si>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</si>
  <si>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</si>
  <si>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</si>
  <si>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</si>
  <si>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</si>
  <si>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</si>
  <si>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</si>
  <si>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</si>
  <si>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</si>
  <si>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</si>
  <si>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</si>
  <si>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</si>
  <si>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</si>
  <si>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</si>
  <si>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</si>
  <si>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</si>
  <si>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</si>
  <si>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</si>
  <si>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</si>
  <si>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</si>
  <si>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</si>
  <si>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</si>
  <si>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</si>
  <si>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</si>
  <si>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</si>
  <si>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</si>
  <si>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</si>
  <si>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</si>
  <si>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</si>
  <si>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</si>
  <si>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</si>
  <si>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</si>
  <si>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</si>
  <si>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</si>
  <si>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</si>
  <si>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</si>
  <si>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</si>
  <si>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</si>
  <si>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</si>
  <si>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</si>
  <si>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</si>
  <si>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</si>
  <si>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</si>
  <si>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</si>
  <si>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</si>
  <si>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</si>
  <si>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</si>
  <si>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</si>
  <si>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</si>
  <si>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</si>
  <si>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</si>
  <si>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</si>
  <si>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</si>
  <si>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</si>
  <si>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</si>
  <si>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</si>
  <si>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</si>
  <si>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</si>
  <si>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</si>
  <si>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</si>
  <si>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</si>
  <si>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</si>
  <si>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</si>
  <si>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</si>
  <si>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</si>
  <si>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</si>
  <si>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</si>
  <si>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</si>
  <si>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</si>
  <si>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</si>
  <si>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</si>
  <si>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</si>
  <si>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</si>
  <si>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</si>
  <si>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</si>
  <si>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</si>
  <si>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</si>
  <si>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</si>
  <si>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</si>
  <si>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</si>
  <si>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</si>
  <si>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</si>
  <si>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</si>
  <si>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</si>
  <si>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</si>
  <si>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</si>
  <si>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</si>
  <si>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</si>
  <si>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</si>
  <si>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</si>
  <si>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</si>
  <si>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</si>
  <si>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</si>
  <si>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</si>
  <si>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</si>
  <si>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</si>
  <si>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</si>
  <si>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</si>
  <si>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</si>
  <si>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</si>
  <si>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</si>
  <si>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</si>
  <si>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</si>
  <si>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</si>
  <si>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</si>
  <si>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</si>
  <si>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</si>
  <si>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</si>
  <si>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</si>
  <si>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</si>
  <si>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</si>
  <si>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</si>
  <si>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</si>
  <si>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</si>
  <si>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</si>
  <si>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</si>
  <si>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</si>
  <si>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</si>
  <si>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</si>
  <si>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</si>
  <si>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</si>
  <si>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</si>
  <si>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</si>
  <si>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</si>
  <si>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</si>
  <si>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</si>
  <si>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</si>
  <si>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</si>
  <si>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</si>
  <si>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</si>
  <si>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</si>
  <si>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</si>
  <si>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</si>
  <si>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</si>
  <si>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</si>
  <si>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</si>
  <si>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</si>
  <si>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</si>
  <si>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</si>
  <si>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</si>
  <si>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</si>
  <si>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</si>
  <si>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</si>
  <si>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</si>
  <si>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</si>
  <si>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</si>
  <si>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</si>
  <si>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</si>
  <si>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</si>
  <si>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</si>
  <si>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</si>
  <si>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</si>
  <si>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</si>
  <si>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</si>
  <si>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</si>
  <si>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</si>
  <si>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</si>
  <si>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</si>
  <si>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</si>
  <si>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</si>
  <si>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</si>
  <si>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</si>
  <si>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</si>
  <si>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</si>
  <si>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</si>
  <si>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</si>
  <si>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</si>
  <si>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</si>
  <si>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</si>
  <si>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</si>
  <si>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</si>
  <si>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</si>
  <si>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</si>
  <si>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</si>
  <si>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</si>
  <si>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</si>
  <si>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</si>
  <si>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</si>
  <si>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</si>
  <si>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</si>
  <si>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</si>
  <si>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</si>
  <si>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</si>
  <si>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</si>
  <si>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</si>
  <si>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</si>
  <si>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</si>
  <si>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</si>
  <si>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</si>
  <si>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</si>
  <si>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</si>
  <si>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</si>
  <si>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</si>
  <si>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</si>
  <si>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</si>
  <si>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</si>
  <si>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</si>
  <si>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</si>
  <si>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</si>
  <si>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</si>
  <si>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</si>
  <si>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</si>
  <si>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</si>
  <si>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</si>
  <si>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</si>
  <si>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</si>
  <si>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</si>
  <si>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</si>
  <si>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</si>
  <si>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</si>
  <si>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</si>
  <si>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</si>
  <si>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</si>
  <si>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</si>
  <si>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</si>
  <si>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</si>
  <si>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</si>
  <si>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</si>
  <si>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</si>
  <si>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</si>
  <si>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</si>
  <si>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</si>
  <si>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</si>
  <si>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</si>
  <si>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</si>
  <si>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</si>
  <si>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</si>
  <si>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</si>
  <si>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</si>
  <si>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</si>
  <si>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</si>
  <si>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</si>
  <si>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</si>
  <si>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</si>
  <si>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</si>
  <si>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</si>
  <si>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</si>
  <si>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</si>
  <si>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</si>
  <si>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</si>
  <si>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</si>
  <si>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</si>
  <si>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</si>
  <si>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</si>
  <si>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</si>
  <si>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</si>
  <si>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</si>
  <si>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</si>
  <si>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</si>
  <si>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</si>
  <si>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</si>
  <si>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</si>
  <si>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</si>
  <si>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</si>
  <si>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</si>
  <si>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</si>
  <si>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</si>
  <si>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</si>
  <si>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</si>
  <si>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</si>
  <si>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</si>
  <si>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</si>
  <si>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</si>
  <si>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</si>
  <si>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</si>
  <si>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</si>
  <si>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</si>
  <si>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</si>
  <si>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</si>
  <si>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</si>
  <si>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</si>
  <si>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</si>
  <si>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</si>
  <si>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</si>
  <si>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</si>
  <si>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</si>
  <si>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</si>
  <si>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</si>
  <si>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</si>
  <si>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</si>
  <si>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</si>
  <si>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</si>
  <si>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</si>
  <si>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</si>
  <si>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</si>
  <si>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</si>
  <si>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</si>
  <si>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</si>
  <si>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</si>
  <si>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</si>
  <si>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</si>
  <si>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</si>
  <si>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</si>
  <si>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</si>
  <si>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</si>
  <si>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</si>
  <si>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</si>
  <si>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</si>
  <si>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</si>
  <si>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</si>
  <si>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</si>
  <si>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</si>
  <si>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</si>
  <si>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</si>
  <si>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</si>
  <si>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</si>
  <si>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</si>
  <si>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</si>
  <si>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</si>
  <si>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</si>
  <si>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</si>
  <si>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</si>
  <si>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</si>
  <si>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</si>
  <si>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</si>
  <si>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</si>
  <si>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</si>
  <si>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</si>
  <si>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</si>
  <si>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</si>
  <si>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</si>
  <si>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</si>
  <si>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</si>
  <si>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</si>
  <si>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</si>
  <si>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</si>
  <si>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</si>
  <si>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</si>
  <si>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</si>
  <si>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</si>
  <si>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</si>
  <si>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</si>
  <si>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</si>
  <si>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</si>
  <si>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</si>
  <si>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</si>
  <si>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</si>
  <si>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</si>
  <si>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</si>
  <si>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</si>
  <si>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</si>
  <si>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</si>
  <si>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</si>
  <si>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</si>
  <si>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</si>
  <si>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</si>
  <si>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</si>
  <si>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</si>
  <si>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</si>
  <si>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</si>
  <si>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</si>
  <si>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</si>
  <si>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</si>
  <si>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</si>
  <si>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</si>
  <si>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</si>
  <si>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</si>
  <si>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</si>
  <si>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</si>
  <si>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</si>
  <si>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</si>
  <si>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</si>
  <si>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</si>
  <si>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</si>
  <si>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</si>
  <si>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</si>
  <si>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</si>
  <si>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</si>
  <si>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</si>
  <si>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</si>
  <si>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</si>
  <si>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</si>
  <si>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</si>
  <si>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</si>
  <si>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</si>
  <si>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</si>
  <si>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</si>
  <si>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</si>
  <si>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</si>
  <si>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</si>
  <si>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</si>
  <si>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</si>
  <si>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</si>
  <si>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</si>
  <si>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</si>
  <si>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</si>
  <si>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</si>
  <si>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</si>
  <si>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</si>
  <si>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</si>
  <si>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</si>
  <si>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</si>
  <si>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</si>
  <si>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</si>
  <si>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</si>
  <si>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</si>
  <si>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</si>
  <si>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</si>
  <si>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</si>
  <si>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</si>
  <si>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</si>
  <si>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</si>
  <si>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</si>
  <si>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</si>
  <si>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</si>
  <si>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</si>
  <si>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</si>
  <si>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</si>
  <si>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</si>
  <si>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</si>
  <si>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</si>
  <si>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</si>
  <si>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</si>
  <si>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</si>
  <si>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</si>
  <si>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</si>
  <si>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</si>
  <si>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</si>
  <si>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</si>
  <si>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</si>
  <si>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</si>
  <si>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</si>
  <si>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</si>
  <si>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</si>
  <si>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</si>
  <si>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</si>
  <si>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</si>
  <si>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</si>
  <si>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</si>
  <si>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</si>
  <si>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</si>
  <si>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</si>
  <si>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</si>
  <si>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</si>
  <si>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</si>
  <si>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</si>
  <si>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</si>
  <si>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</si>
  <si>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</si>
  <si>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</si>
  <si>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</si>
  <si>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</si>
  <si>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</si>
  <si>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</si>
  <si>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</si>
  <si>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</si>
  <si>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</si>
  <si>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</si>
  <si>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</si>
  <si>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</si>
  <si>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</si>
  <si>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</si>
  <si>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</si>
  <si>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</si>
  <si>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</si>
  <si>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</si>
  <si>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</si>
  <si>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</si>
  <si>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</si>
  <si>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</si>
  <si>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</si>
  <si>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</si>
  <si>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</si>
  <si>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</si>
  <si>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</si>
  <si>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</si>
  <si>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</si>
  <si>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</si>
  <si>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</si>
  <si>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</si>
  <si>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</si>
  <si>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</si>
  <si>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</si>
  <si>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</si>
  <si>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</si>
  <si>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</si>
  <si>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</si>
  <si>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</si>
  <si>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</si>
  <si>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</si>
  <si>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</si>
  <si>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</si>
  <si>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</si>
  <si>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</si>
  <si>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</si>
  <si>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</si>
  <si>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</si>
  <si>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</si>
  <si>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</si>
  <si>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</si>
  <si>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</si>
  <si>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</si>
  <si>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</si>
  <si>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</si>
  <si>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</si>
  <si>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</si>
  <si>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</si>
  <si>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</si>
  <si>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</si>
  <si>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</si>
  <si>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</si>
  <si>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</si>
  <si>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</si>
  <si>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</si>
  <si>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</si>
  <si>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</si>
  <si>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</si>
  <si>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</si>
  <si>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</si>
  <si>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</si>
  <si>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</si>
  <si>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</si>
  <si>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</si>
  <si>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</si>
  <si>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</si>
  <si>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</si>
  <si>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</si>
  <si>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</si>
  <si>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</si>
  <si>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</si>
  <si>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</si>
  <si>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</si>
  <si>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</si>
  <si>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</si>
  <si>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</si>
  <si>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</si>
  <si>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</si>
  <si>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</si>
  <si>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</si>
  <si>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</si>
  <si>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</si>
  <si>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</si>
  <si>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</si>
  <si>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</si>
  <si>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</si>
  <si>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</si>
  <si>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</si>
  <si>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</si>
  <si>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</si>
  <si>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</si>
  <si>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</si>
  <si>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</si>
  <si>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</si>
  <si>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</si>
  <si>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</si>
  <si>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</si>
  <si>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</si>
  <si>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</si>
  <si>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</si>
  <si>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</si>
  <si>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</si>
  <si>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</si>
  <si>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</si>
  <si>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</si>
  <si>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</si>
  <si>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</si>
  <si>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</si>
  <si>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</si>
  <si>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</si>
  <si>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</si>
  <si>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</si>
  <si>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</si>
  <si>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</si>
  <si>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</si>
  <si>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</si>
  <si>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</si>
  <si>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</si>
  <si>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</si>
  <si>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</si>
  <si>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</si>
  <si>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</si>
  <si>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</si>
  <si>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</si>
  <si>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</si>
  <si>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</si>
  <si>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</si>
  <si>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</si>
  <si>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</si>
  <si>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</si>
  <si>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</si>
  <si>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</si>
  <si>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</si>
  <si>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</si>
  <si>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</si>
  <si>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</si>
  <si>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</si>
  <si>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</si>
  <si>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</si>
  <si>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</si>
  <si>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</si>
  <si>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</si>
  <si>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</si>
  <si>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</si>
  <si>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</si>
  <si>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</si>
  <si>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</si>
  <si>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</si>
  <si>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</si>
  <si>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</si>
  <si>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</si>
  <si>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</si>
  <si>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</si>
  <si>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</si>
  <si>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</si>
  <si>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</si>
  <si>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</si>
  <si>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</si>
  <si>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</si>
  <si>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</si>
  <si>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</si>
  <si>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</si>
  <si>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</si>
  <si>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</si>
  <si>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</si>
  <si>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</si>
  <si>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</si>
  <si>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</si>
  <si>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</si>
  <si>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</si>
  <si>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</si>
  <si>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</si>
  <si>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</si>
  <si>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</si>
  <si>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</si>
  <si>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</si>
  <si>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</si>
  <si>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</si>
  <si>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</si>
  <si>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</si>
  <si>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</si>
  <si>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</si>
  <si>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</si>
  <si>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</si>
  <si>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</si>
  <si>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</si>
  <si>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</si>
  <si>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</si>
  <si>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</si>
  <si>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</si>
  <si>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</si>
  <si>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</si>
  <si>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</si>
  <si>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</si>
  <si>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</si>
  <si>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</si>
  <si>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</si>
  <si>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</si>
  <si>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</si>
  <si>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</si>
  <si>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</si>
  <si>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</si>
  <si>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</si>
  <si>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</si>
  <si>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</si>
  <si>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</si>
  <si>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</si>
  <si>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</si>
  <si>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</si>
  <si>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</si>
  <si>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</si>
  <si>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</si>
  <si>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</si>
  <si>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</si>
  <si>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</si>
  <si>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</si>
  <si>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</si>
  <si>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</si>
  <si>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</si>
  <si>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</si>
  <si>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</si>
  <si>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</si>
  <si>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</si>
  <si>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</si>
  <si>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</si>
  <si>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</si>
  <si>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</si>
  <si>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</si>
  <si>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</si>
  <si>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</si>
  <si>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</si>
  <si>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</si>
  <si>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</si>
  <si>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</si>
  <si>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</si>
  <si>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</si>
  <si>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</si>
  <si>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</si>
  <si>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</si>
  <si>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</si>
  <si>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</si>
  <si>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</si>
  <si>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</si>
  <si>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</si>
  <si>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</si>
  <si>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</si>
  <si>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</si>
  <si>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</si>
  <si>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</si>
  <si>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</si>
  <si>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</si>
  <si>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</si>
  <si>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</si>
  <si>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</si>
  <si>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</si>
  <si>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</si>
  <si>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</si>
  <si>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</si>
  <si>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</si>
  <si>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</si>
  <si>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</si>
  <si>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</si>
  <si>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</si>
  <si>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</si>
  <si>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</si>
  <si>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</si>
  <si>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</si>
  <si>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</si>
  <si>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</si>
  <si>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</si>
  <si>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</si>
  <si>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</si>
  <si>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</si>
  <si>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</si>
  <si>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</si>
  <si>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</si>
  <si>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</si>
  <si>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</si>
  <si>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</si>
  <si>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</si>
  <si>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</si>
  <si>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</si>
  <si>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</si>
  <si>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</si>
  <si>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</si>
  <si>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</si>
  <si>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</si>
  <si>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</si>
  <si>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</si>
  <si>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</si>
  <si>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</si>
  <si>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</si>
  <si>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</si>
  <si>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</si>
  <si>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</si>
  <si>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</si>
  <si>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</si>
  <si>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</si>
  <si>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</si>
  <si>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</si>
  <si>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</si>
  <si>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</si>
  <si>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</si>
  <si>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</si>
  <si>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</si>
  <si>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</si>
  <si>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</si>
  <si>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</si>
  <si>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</si>
  <si>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</si>
  <si>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</si>
  <si>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</si>
  <si>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</si>
  <si>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</si>
  <si>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</si>
  <si>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</si>
  <si>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</si>
  <si>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</si>
  <si>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</si>
  <si>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</si>
  <si>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</si>
  <si>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</si>
  <si>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</si>
  <si>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</si>
  <si>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</si>
  <si>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</si>
  <si>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</si>
  <si>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</si>
  <si>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</si>
  <si>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</si>
  <si>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</si>
  <si>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</si>
  <si>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</si>
  <si>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</si>
  <si>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</si>
  <si>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</si>
  <si>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</si>
  <si>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</si>
  <si>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</si>
  <si>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</si>
  <si>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</si>
  <si>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</si>
  <si>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</si>
  <si>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</si>
  <si>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</si>
  <si>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</si>
  <si>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</si>
  <si>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</si>
  <si>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</si>
  <si>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</si>
  <si>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</si>
  <si>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</si>
  <si>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</si>
  <si>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</si>
  <si>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</si>
  <si>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</si>
  <si>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</si>
  <si>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</si>
  <si>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</si>
  <si>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</si>
  <si>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</si>
  <si>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</si>
  <si>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</si>
  <si>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</si>
  <si>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</si>
  <si>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</si>
  <si>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</si>
  <si>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</si>
  <si>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</si>
  <si>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</si>
  <si>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</si>
  <si>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</si>
  <si>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</si>
  <si>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</si>
  <si>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</si>
  <si>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</si>
  <si>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</si>
  <si>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</si>
  <si>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</si>
  <si>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</si>
  <si>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</si>
  <si>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</si>
  <si>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</si>
  <si>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</si>
  <si>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</si>
  <si>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</si>
  <si>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</si>
  <si>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</si>
  <si>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</si>
  <si>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</si>
  <si>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</si>
  <si>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</si>
  <si>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</si>
  <si>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</si>
  <si>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</si>
  <si>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</si>
  <si>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</si>
  <si>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</si>
  <si>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</si>
  <si>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</si>
  <si>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</si>
  <si>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</si>
  <si>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</si>
  <si>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</si>
  <si>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</si>
  <si>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</si>
  <si>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</si>
  <si>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</si>
  <si>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</si>
  <si>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</si>
  <si>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</si>
  <si>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</si>
  <si>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</si>
  <si>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</si>
  <si>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</si>
  <si>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</si>
  <si>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</si>
  <si>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</si>
  <si>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</si>
  <si>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</si>
  <si>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</si>
  <si>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</si>
  <si>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</si>
  <si>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</si>
  <si>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</si>
  <si>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</si>
  <si>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</si>
  <si>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</si>
  <si>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</si>
  <si>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</si>
  <si>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</si>
  <si>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</si>
  <si>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</si>
  <si>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</si>
  <si>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</si>
  <si>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</si>
  <si>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</si>
  <si>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</si>
  <si>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</si>
  <si>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</si>
  <si>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</si>
  <si>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</si>
  <si>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</si>
  <si>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</si>
  <si>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</si>
  <si>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</si>
  <si>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</si>
  <si>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</si>
  <si>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</si>
  <si>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</si>
  <si>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</si>
  <si>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</si>
  <si>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</si>
  <si>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</si>
  <si>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</si>
  <si>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</si>
  <si>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</si>
  <si>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</si>
  <si>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</si>
  <si>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</si>
  <si>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</si>
  <si>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</si>
  <si>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</si>
  <si>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</si>
  <si>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</si>
  <si>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</si>
  <si>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</si>
  <si>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</si>
  <si>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</si>
  <si>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</si>
  <si>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</si>
  <si>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</si>
  <si>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</si>
  <si>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</si>
  <si>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</si>
  <si>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</si>
  <si>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</si>
  <si>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</si>
  <si>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</si>
  <si>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</si>
  <si>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</si>
  <si>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</si>
  <si>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</si>
  <si>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</si>
  <si>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</si>
  <si>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</si>
  <si>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</si>
  <si>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</si>
  <si>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</si>
  <si>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</si>
  <si>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</si>
  <si>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</si>
  <si>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</si>
  <si>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</si>
  <si>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</si>
  <si>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</si>
  <si>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</si>
  <si>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</si>
  <si>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</si>
  <si>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</si>
  <si>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</si>
  <si>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</si>
  <si>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</si>
  <si>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</si>
  <si>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</si>
  <si>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</si>
  <si>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</si>
  <si>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</si>
  <si>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</si>
  <si>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</si>
  <si>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</si>
  <si>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</si>
  <si>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</si>
  <si>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</si>
  <si>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</si>
  <si>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</si>
  <si>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</si>
  <si>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</si>
  <si>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</si>
  <si>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</si>
  <si>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</si>
  <si>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</si>
  <si>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</si>
  <si>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</si>
  <si>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</si>
  <si>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</si>
  <si>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</si>
  <si>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</si>
  <si>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</si>
  <si>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</si>
  <si>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</si>
  <si>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</si>
  <si>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</si>
  <si>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</si>
  <si>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</si>
  <si>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</si>
  <si>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</si>
  <si>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</si>
  <si>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</si>
  <si>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</si>
  <si>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</si>
  <si>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</si>
  <si>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</si>
  <si>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</si>
  <si>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</si>
  <si>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</si>
  <si>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</si>
  <si>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</si>
  <si>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</si>
  <si>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</si>
  <si>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</si>
  <si>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</si>
  <si>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</si>
  <si>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</si>
  <si>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</si>
  <si>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</si>
  <si>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</si>
  <si>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</si>
  <si>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</si>
  <si>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</si>
  <si>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</si>
  <si>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</si>
  <si>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</si>
  <si>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</si>
  <si>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</si>
  <si>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</si>
  <si>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</si>
  <si>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</si>
  <si>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</si>
  <si>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</si>
  <si>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</si>
  <si>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</si>
  <si>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</si>
  <si>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</si>
  <si>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</si>
  <si>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</si>
  <si>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</si>
  <si>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</si>
  <si>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</si>
  <si>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</si>
  <si>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</si>
  <si>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</si>
  <si>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</si>
  <si>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</si>
  <si>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</si>
  <si>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</si>
  <si>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</si>
  <si>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</si>
  <si>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</si>
  <si>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</si>
  <si>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</si>
  <si>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</si>
  <si>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</si>
  <si>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</si>
  <si>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</si>
  <si>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</si>
  <si>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</si>
  <si>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</si>
  <si>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</si>
  <si>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</si>
  <si>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</si>
  <si>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</si>
  <si>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</si>
  <si>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</si>
  <si>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</si>
  <si>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</si>
  <si>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</si>
  <si>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</si>
  <si>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</si>
  <si>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</si>
  <si>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</si>
  <si>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</si>
  <si>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</si>
  <si>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</si>
  <si>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</si>
  <si>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</si>
  <si>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</si>
  <si>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</si>
  <si>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</si>
  <si>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</si>
  <si>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</si>
  <si>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</si>
  <si>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</si>
  <si>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</si>
  <si>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</si>
  <si>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</si>
  <si>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</si>
  <si>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</si>
  <si>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</si>
  <si>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</si>
  <si>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</si>
  <si>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</si>
  <si>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</si>
  <si>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</si>
  <si>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</si>
  <si>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</si>
  <si>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</si>
  <si>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</si>
  <si>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</si>
  <si>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</si>
  <si>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</si>
  <si>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</si>
  <si>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</si>
  <si>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</si>
  <si>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</si>
  <si>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</si>
  <si>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</si>
  <si>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</si>
  <si>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</si>
  <si>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</si>
  <si>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</si>
  <si>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</si>
  <si>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</si>
  <si>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</si>
  <si>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</si>
  <si>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</si>
  <si>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</si>
  <si>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</si>
  <si>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</si>
  <si>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</si>
  <si>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</si>
  <si>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</si>
  <si>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</si>
  <si>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</si>
  <si>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</si>
  <si>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</si>
  <si>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</si>
  <si>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</si>
  <si>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</si>
  <si>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</si>
  <si>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</si>
  <si>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</si>
  <si>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</si>
  <si>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</si>
  <si>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</si>
  <si>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</si>
  <si>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</si>
  <si>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</si>
  <si>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</si>
  <si>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</si>
  <si>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</si>
  <si>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</si>
  <si>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</si>
  <si>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</si>
  <si>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</si>
  <si>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</si>
  <si>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</si>
  <si>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</si>
  <si>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</si>
  <si>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</si>
  <si>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</si>
  <si>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</si>
  <si>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</si>
  <si>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</si>
  <si>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</si>
  <si>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</si>
  <si>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</si>
  <si>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</si>
  <si>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</si>
  <si>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</si>
  <si>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</si>
  <si>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</si>
  <si>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</si>
  <si>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</si>
  <si>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</si>
  <si>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</si>
  <si>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</si>
  <si>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</si>
  <si>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</si>
  <si>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</si>
  <si>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</si>
  <si>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</si>
  <si>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</si>
  <si>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</si>
  <si>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</si>
  <si>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</si>
  <si>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</si>
  <si>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</si>
  <si>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</si>
  <si>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</si>
  <si>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</si>
  <si>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</si>
  <si>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</si>
  <si>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</si>
  <si>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</si>
  <si>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</si>
  <si>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</si>
  <si>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</si>
  <si>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</si>
  <si>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</si>
  <si>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</si>
  <si>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</si>
  <si>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</si>
  <si>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</si>
  <si>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</si>
  <si>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</si>
  <si>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</si>
  <si>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</si>
  <si>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</si>
  <si>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</si>
  <si>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</si>
  <si>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</si>
  <si>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</si>
  <si>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</si>
  <si>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</si>
  <si>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</si>
  <si>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</si>
  <si>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</si>
  <si>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</si>
  <si>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</si>
  <si>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</si>
  <si>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</si>
  <si>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</si>
  <si>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</si>
  <si>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</si>
  <si>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</si>
  <si>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</si>
  <si>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</si>
  <si>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</si>
  <si>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</si>
  <si>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</si>
  <si>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</si>
  <si>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</si>
  <si>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</si>
  <si>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</si>
  <si>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</si>
  <si>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</si>
  <si>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</si>
  <si>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</si>
  <si>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</si>
  <si>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</si>
  <si>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</si>
  <si>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</si>
  <si>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</si>
  <si>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</si>
  <si>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</si>
  <si>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</si>
  <si>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</si>
  <si>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</si>
  <si>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</si>
  <si>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</si>
  <si>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</si>
  <si>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</si>
  <si>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</si>
  <si>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</si>
  <si>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</si>
  <si>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</si>
  <si>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</si>
  <si>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</si>
  <si>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</si>
  <si>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</si>
  <si>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</si>
  <si>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</si>
  <si>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</si>
  <si>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</si>
  <si>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</si>
  <si>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</si>
  <si>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</si>
  <si>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</si>
  <si>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</si>
  <si>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</si>
  <si>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</si>
  <si>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</si>
  <si>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</si>
  <si>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</si>
  <si>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</si>
  <si>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</si>
  <si>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</si>
  <si>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</si>
  <si>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</si>
  <si>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</si>
  <si>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</si>
  <si>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</si>
  <si>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</si>
  <si>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</si>
  <si>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</si>
  <si>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</si>
  <si>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</si>
  <si>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</si>
  <si>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</si>
  <si>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</si>
  <si>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</si>
  <si>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</si>
  <si>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</si>
  <si>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</si>
  <si>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</si>
  <si>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</si>
  <si>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</si>
  <si>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</si>
  <si>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</si>
  <si>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</si>
  <si>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</si>
  <si>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</si>
  <si>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</si>
  <si>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</si>
  <si>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</si>
  <si>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</si>
  <si>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</si>
  <si>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</si>
  <si>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</si>
  <si>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</si>
  <si>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</si>
  <si>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</si>
  <si>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</si>
  <si>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</si>
  <si>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</si>
  <si>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</si>
  <si>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</si>
  <si>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</si>
  <si>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</si>
  <si>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</si>
  <si>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</si>
  <si>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</si>
  <si>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</si>
  <si>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</si>
  <si>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</si>
  <si>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</si>
  <si>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</si>
  <si>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</si>
  <si>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</si>
  <si>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</si>
  <si>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</si>
  <si>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</si>
  <si>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</si>
  <si>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</si>
  <si>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</si>
  <si>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</si>
  <si>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</si>
  <si>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</si>
  <si>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</si>
  <si>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</si>
  <si>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</si>
  <si>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</si>
  <si>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</si>
  <si>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</si>
  <si>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</si>
  <si>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</si>
  <si>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</si>
  <si>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</si>
  <si>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</si>
  <si>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</si>
  <si>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</si>
  <si>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</si>
  <si>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</si>
  <si>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</si>
  <si>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</si>
  <si>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</si>
  <si>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</si>
  <si>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</si>
  <si>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</si>
  <si>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</si>
  <si>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</si>
  <si>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</si>
  <si>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</si>
  <si>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</si>
  <si>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</si>
  <si>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</si>
  <si>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</si>
  <si>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</si>
  <si>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</si>
  <si>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</si>
  <si>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</si>
  <si>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</si>
  <si>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</si>
  <si>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</si>
  <si>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</si>
  <si>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</si>
  <si>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</si>
  <si>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</si>
  <si>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</si>
  <si>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</si>
  <si>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</si>
  <si>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</si>
  <si>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</si>
  <si>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</si>
  <si>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</si>
  <si>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</si>
  <si>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</si>
  <si>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</si>
  <si>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</si>
  <si>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</si>
  <si>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</si>
  <si>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</si>
  <si>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</si>
  <si>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</si>
  <si>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</si>
  <si>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</si>
  <si>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</si>
  <si>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</si>
  <si>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</si>
  <si>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</si>
  <si>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</si>
  <si>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</si>
  <si>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</si>
  <si>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</si>
  <si>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</si>
  <si>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</si>
  <si>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</si>
  <si>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</si>
  <si>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</si>
  <si>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</si>
  <si>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</si>
  <si>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</si>
  <si>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</si>
  <si>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</si>
  <si>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</si>
  <si>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</si>
  <si>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</si>
  <si>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</si>
  <si>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</si>
  <si>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</si>
  <si>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</si>
  <si>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</si>
  <si>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</si>
  <si>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</si>
  <si>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</si>
  <si>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</si>
  <si>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</si>
  <si>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</si>
  <si>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</si>
  <si>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</si>
  <si>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</si>
  <si>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</si>
  <si>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</si>
  <si>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</si>
  <si>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</si>
  <si>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</si>
  <si>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</si>
  <si>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</si>
  <si>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</si>
  <si>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</si>
  <si>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</si>
  <si>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</si>
  <si>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</si>
  <si>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</si>
  <si>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</si>
  <si>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</si>
  <si>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</si>
  <si>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</si>
  <si>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</si>
  <si>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</si>
  <si>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</si>
  <si>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</si>
  <si>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</si>
  <si>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</si>
  <si>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</si>
  <si>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</si>
  <si>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</si>
  <si>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</si>
  <si>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</si>
  <si>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</si>
  <si>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</si>
  <si>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</si>
  <si>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</si>
  <si>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</si>
  <si>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</si>
  <si>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</si>
  <si>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</si>
  <si>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</si>
  <si>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</si>
  <si>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</si>
  <si>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</si>
  <si>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</si>
  <si>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</si>
  <si>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</si>
  <si>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</si>
  <si>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</si>
  <si>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</si>
  <si>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</si>
  <si>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</si>
  <si>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</si>
  <si>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</si>
  <si>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</si>
  <si>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</si>
  <si>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</si>
  <si>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</si>
  <si>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</si>
  <si>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</si>
  <si>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</si>
  <si>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</si>
  <si>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</si>
  <si>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</si>
  <si>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</si>
  <si>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</si>
  <si>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</si>
  <si>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</si>
  <si>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</si>
  <si>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</si>
  <si>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</si>
  <si>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</si>
  <si>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</si>
  <si>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</si>
  <si>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</si>
  <si>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</si>
  <si>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</si>
  <si>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</si>
  <si>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</si>
  <si>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</si>
  <si>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</si>
  <si>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</si>
  <si>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</si>
  <si>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</si>
  <si>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</si>
  <si>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</si>
  <si>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</si>
  <si>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</si>
  <si>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</si>
  <si>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</si>
  <si>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</si>
  <si>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</si>
  <si>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</si>
  <si>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</si>
  <si>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</si>
  <si>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</si>
  <si>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</si>
  <si>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</si>
  <si>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</si>
  <si>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</si>
  <si>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</si>
  <si>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</si>
  <si>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</si>
  <si>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</si>
  <si>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</si>
  <si>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</si>
  <si>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</si>
  <si>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</si>
  <si>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</si>
  <si>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</si>
  <si>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</si>
  <si>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</si>
  <si>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</si>
  <si>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</si>
  <si>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</si>
  <si>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</si>
  <si>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</si>
  <si>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</si>
  <si>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</si>
  <si>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</si>
  <si>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</si>
  <si>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</si>
  <si>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</si>
  <si>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</si>
  <si>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</si>
  <si>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</si>
  <si>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</si>
  <si>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</si>
  <si>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</si>
  <si>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</si>
  <si>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</si>
  <si>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</si>
  <si>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</si>
  <si>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</si>
  <si>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</si>
  <si>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</si>
  <si>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</si>
  <si>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</si>
  <si>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</si>
  <si>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</si>
  <si>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</si>
  <si>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</si>
  <si>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</si>
  <si>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</si>
  <si>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</si>
  <si>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</si>
  <si>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</si>
  <si>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</si>
  <si>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</si>
  <si>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</si>
  <si>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</si>
  <si>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</si>
  <si>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</si>
  <si>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</si>
  <si>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</si>
  <si>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</si>
  <si>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</si>
  <si>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</si>
  <si>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</si>
  <si>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</si>
  <si>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</si>
  <si>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</si>
  <si>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</si>
  <si>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</si>
  <si>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</si>
  <si>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</si>
  <si>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</si>
  <si>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</si>
  <si>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</si>
  <si>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</si>
  <si>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</si>
  <si>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</si>
  <si>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</si>
  <si>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</si>
  <si>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</si>
  <si>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</si>
  <si>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</si>
  <si>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</si>
  <si>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</si>
  <si>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</si>
  <si>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</si>
  <si>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</si>
  <si>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</si>
  <si>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</si>
  <si>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</si>
  <si>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</si>
  <si>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</si>
  <si>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</si>
  <si>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</si>
  <si>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</si>
  <si>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</si>
  <si>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</si>
  <si>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</si>
  <si>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</si>
  <si>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</si>
  <si>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</si>
  <si>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</si>
  <si>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</si>
  <si>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</si>
  <si>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</si>
  <si>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</si>
  <si>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</si>
  <si>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</si>
  <si>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</si>
  <si>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</si>
  <si>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</si>
  <si>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</si>
  <si>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</si>
  <si>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</si>
  <si>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</si>
  <si>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</si>
  <si>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</si>
  <si>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</si>
  <si>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</si>
  <si>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</si>
  <si>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</si>
  <si>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</si>
  <si>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</si>
  <si>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</si>
  <si>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</si>
  <si>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</si>
  <si>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</si>
  <si>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</si>
  <si>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</si>
  <si>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</si>
  <si>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</si>
  <si>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</si>
  <si>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</si>
  <si>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</si>
  <si>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</si>
  <si>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</si>
  <si>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</si>
  <si>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</si>
  <si>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</si>
  <si>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</si>
  <si>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</si>
  <si>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</si>
  <si>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</si>
  <si>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</si>
  <si>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</si>
  <si>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</si>
  <si>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</si>
  <si>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</si>
  <si>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</si>
  <si>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</si>
  <si>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</si>
  <si>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</si>
  <si>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</si>
  <si>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</si>
  <si>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</si>
  <si>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</si>
  <si>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</si>
  <si>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</si>
  <si>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</si>
  <si>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</si>
  <si>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</si>
  <si>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</si>
  <si>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</si>
  <si>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</si>
  <si>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</si>
  <si>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</si>
  <si>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</si>
  <si>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</si>
  <si>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</si>
  <si>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</si>
  <si>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</si>
  <si>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</si>
  <si>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</si>
  <si>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</si>
  <si>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</si>
  <si>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</si>
  <si>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</si>
  <si>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</si>
  <si>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</si>
  <si>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</si>
  <si>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</si>
  <si>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</si>
  <si>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</si>
  <si>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</si>
  <si>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</si>
  <si>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</si>
  <si>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</si>
  <si>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</si>
  <si>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</si>
  <si>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</si>
  <si>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</si>
  <si>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</si>
  <si>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</si>
  <si>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</si>
  <si>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</si>
  <si>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</si>
  <si>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</si>
  <si>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</si>
  <si>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</si>
  <si>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</si>
  <si>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</si>
  <si>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</si>
  <si>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</si>
  <si>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</si>
  <si>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</si>
  <si>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</si>
  <si>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</si>
  <si>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</si>
  <si>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</si>
  <si>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</si>
  <si>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</si>
  <si>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</si>
  <si>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</si>
  <si>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</si>
  <si>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</si>
  <si>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</si>
  <si>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</si>
  <si>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</si>
  <si>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</si>
  <si>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</si>
  <si>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</si>
  <si>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</si>
  <si>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</si>
  <si>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</si>
  <si>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</si>
  <si>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</si>
  <si>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</si>
  <si>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</si>
  <si>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</si>
  <si>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</si>
  <si>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</si>
  <si>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</si>
  <si>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</si>
  <si>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</si>
  <si>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</si>
  <si>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</si>
  <si>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</si>
  <si>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</si>
  <si>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</si>
  <si>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</si>
  <si>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</si>
  <si>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</si>
  <si>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</si>
  <si>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</si>
  <si>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</si>
  <si>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</si>
  <si>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</si>
  <si>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</si>
  <si>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</si>
  <si>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</si>
  <si>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</si>
  <si>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</si>
  <si>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</si>
  <si>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</si>
  <si>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</si>
  <si>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</si>
  <si>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</si>
  <si>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</si>
  <si>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</si>
  <si>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</si>
  <si>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</si>
  <si>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</si>
  <si>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</si>
  <si>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</si>
  <si>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</si>
  <si>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</si>
  <si>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</si>
  <si>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</si>
  <si>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</si>
  <si>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</si>
  <si>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</si>
  <si>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</si>
  <si>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</si>
  <si>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</si>
  <si>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</si>
  <si>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</si>
  <si>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</si>
  <si>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</si>
  <si>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</si>
  <si>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</si>
  <si>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</si>
  <si>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</si>
  <si>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</si>
  <si>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</si>
  <si>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</si>
  <si>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</si>
  <si>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</si>
  <si>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</si>
  <si>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</si>
  <si>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</si>
  <si>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</si>
  <si>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</si>
  <si>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</si>
  <si>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</si>
  <si>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</si>
  <si>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</si>
  <si>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</si>
  <si>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</si>
  <si>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</si>
  <si>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</si>
  <si>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</si>
  <si>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</si>
  <si>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</si>
  <si>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</si>
  <si>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</si>
  <si>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</si>
  <si>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</si>
  <si>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</si>
  <si>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</si>
  <si>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</si>
  <si>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</si>
  <si>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</si>
  <si>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</si>
  <si>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</si>
  <si>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</si>
  <si>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</si>
  <si>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</si>
  <si>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</si>
  <si>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</si>
  <si>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</si>
  <si>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</si>
  <si>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</si>
  <si>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</si>
  <si>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</si>
  <si>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</si>
  <si>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</si>
  <si>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</si>
  <si>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</si>
  <si>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</si>
  <si>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</si>
  <si>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</si>
  <si>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</si>
  <si>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</si>
  <si>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</si>
  <si>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</si>
  <si>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</si>
  <si>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</si>
  <si>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</si>
  <si>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</si>
  <si>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</si>
  <si>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</si>
  <si>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</si>
  <si>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</si>
  <si>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</si>
  <si>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</si>
  <si>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</si>
  <si>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</si>
  <si>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</si>
  <si>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</si>
  <si>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</si>
  <si>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</si>
  <si>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</si>
  <si>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</si>
  <si>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</si>
  <si>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</si>
  <si>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</si>
  <si>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</si>
  <si>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</si>
  <si>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</si>
  <si>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</si>
  <si>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</si>
  <si>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</si>
  <si>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</si>
  <si>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</si>
  <si>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</si>
  <si>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</si>
  <si>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</si>
  <si>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</si>
  <si>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</si>
  <si>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</si>
  <si>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</si>
  <si>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</si>
  <si>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</si>
  <si>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</si>
  <si>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</si>
  <si>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</si>
  <si>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</si>
  <si>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</si>
  <si>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</si>
  <si>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</si>
  <si>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</si>
  <si>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</si>
  <si>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</si>
  <si>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</si>
  <si>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</si>
  <si>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</si>
  <si>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</si>
  <si>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</si>
  <si>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</si>
  <si>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</si>
  <si>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</si>
  <si>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</si>
  <si>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</si>
  <si>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</si>
  <si>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</si>
  <si>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</si>
  <si>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</si>
  <si>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</si>
  <si>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</si>
  <si>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</si>
  <si>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</si>
  <si>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</si>
  <si>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</si>
  <si>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</si>
  <si>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</si>
  <si>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</si>
  <si>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</si>
  <si>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</si>
  <si>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</si>
  <si>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</si>
  <si>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</si>
  <si>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</si>
  <si>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</si>
  <si>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</si>
  <si>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</si>
  <si>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</si>
  <si>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</si>
  <si>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</si>
  <si>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</si>
  <si>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</si>
  <si>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</si>
  <si>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</si>
  <si>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</si>
  <si>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</si>
  <si>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</si>
  <si>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</si>
  <si>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</si>
  <si>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</si>
  <si>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</si>
  <si>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</si>
  <si>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</si>
  <si>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</si>
  <si>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</si>
  <si>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</si>
  <si>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</si>
  <si>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</si>
  <si>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</si>
  <si>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</si>
  <si>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</si>
  <si>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</si>
  <si>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</si>
  <si>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</si>
  <si>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</si>
  <si>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</si>
  <si>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</si>
  <si>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</si>
  <si>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</si>
  <si>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</si>
  <si>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</si>
  <si>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</si>
  <si>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</si>
  <si>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</si>
  <si>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</si>
  <si>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</si>
  <si>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</si>
  <si>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</si>
  <si>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</si>
  <si>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</si>
  <si>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</si>
  <si>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</si>
  <si>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</si>
  <si>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</si>
  <si>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</si>
  <si>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</si>
  <si>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</si>
  <si>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</si>
  <si>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</si>
  <si>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</si>
  <si>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</si>
  <si>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</si>
  <si>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</si>
  <si>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</si>
  <si>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</si>
  <si>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</si>
  <si>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</si>
  <si>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</si>
  <si>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</si>
  <si>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</si>
  <si>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</si>
  <si>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</si>
  <si>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</si>
  <si>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</si>
  <si>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</si>
  <si>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</si>
  <si>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</si>
  <si>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</si>
  <si>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</si>
  <si>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</si>
  <si>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</si>
  <si>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</si>
  <si>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</si>
  <si>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</si>
  <si>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</si>
  <si>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</si>
  <si>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</si>
  <si>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</si>
  <si>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</si>
  <si>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</si>
  <si>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</si>
  <si>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</si>
  <si>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</si>
  <si>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</si>
  <si>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</si>
  <si>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</si>
  <si>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</si>
  <si>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</si>
  <si>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</si>
  <si>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</si>
  <si>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</si>
  <si>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</si>
  <si>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</si>
  <si>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</si>
  <si>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</si>
  <si>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</si>
  <si>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</si>
  <si>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</si>
  <si>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</si>
  <si>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</si>
  <si>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</si>
  <si>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</si>
  <si>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</si>
  <si>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</si>
  <si>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</si>
  <si>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</si>
  <si>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</si>
  <si>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</si>
  <si>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</si>
  <si>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</si>
  <si>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</si>
  <si>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</si>
  <si>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</si>
  <si>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</si>
  <si>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</si>
  <si>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2021 y al 30 de junio de 2022 (b)</t>
  </si>
  <si>
    <t>Del 1 de enero al 30 de junio de 2022 (b)</t>
  </si>
  <si>
    <t>MUNICIPIO DE 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</si>
</sst>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E12"/>
  <sheetViews>
    <sheetView showGridLines="0" tabSelected="1" view="pageBreakPreview" zoomScale="190" zoomScaleNormal="100" zoomScaleSheetLayoutView="19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62" t="s">
        <v>829</v>
      </c>
      <c r="B1" s="163"/>
      <c r="C1" s="163"/>
      <c r="D1" s="163"/>
      <c r="E1" s="164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65" t="s">
        <v>3304</v>
      </c>
      <c r="D3" s="165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scale="99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view="pageBreakPreview" zoomScale="60" zoomScaleNormal="85" workbookViewId="0">
      <selection activeCell="D59" sqref="D59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78" t="s">
        <v>542</v>
      </c>
      <c r="B1" s="178"/>
      <c r="C1" s="178"/>
      <c r="D1" s="178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66" t="str">
        <f>ENTE_PUBLICO_A</f>
        <v>MUNICIPIO DE SAN FELIPE, Gobierno del Estado de Guanajuato (a)</v>
      </c>
      <c r="B2" s="167"/>
      <c r="C2" s="167"/>
      <c r="D2" s="168"/>
    </row>
    <row r="3" spans="1:11" ht="14.25" x14ac:dyDescent="0.45">
      <c r="A3" s="169" t="s">
        <v>166</v>
      </c>
      <c r="B3" s="170"/>
      <c r="C3" s="170"/>
      <c r="D3" s="171"/>
    </row>
    <row r="4" spans="1:11" ht="14.25" x14ac:dyDescent="0.45">
      <c r="A4" s="172" t="str">
        <f>TRIMESTRE</f>
        <v>Del 1 de enero al 30 de junio de 2022 (b)</v>
      </c>
      <c r="B4" s="173"/>
      <c r="C4" s="173"/>
      <c r="D4" s="174"/>
    </row>
    <row r="5" spans="1:11" ht="14.25" x14ac:dyDescent="0.45">
      <c r="A5" s="175" t="s">
        <v>118</v>
      </c>
      <c r="B5" s="176"/>
      <c r="C5" s="176"/>
      <c r="D5" s="177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365656843.60000002</v>
      </c>
      <c r="C8" s="40">
        <f t="shared" ref="C8:D8" si="0">SUM(C9:C11)</f>
        <v>0</v>
      </c>
      <c r="D8" s="40">
        <f t="shared" si="0"/>
        <v>289366847.63999999</v>
      </c>
    </row>
    <row r="9" spans="1:11" x14ac:dyDescent="0.25">
      <c r="A9" s="53" t="s">
        <v>169</v>
      </c>
      <c r="B9" s="23">
        <v>158893481.59999999</v>
      </c>
      <c r="C9" s="23">
        <v>0</v>
      </c>
      <c r="D9" s="23">
        <v>148125821.13999999</v>
      </c>
    </row>
    <row r="10" spans="1:11" x14ac:dyDescent="0.25">
      <c r="A10" s="53" t="s">
        <v>170</v>
      </c>
      <c r="B10" s="23">
        <v>206763362</v>
      </c>
      <c r="C10" s="23">
        <v>0</v>
      </c>
      <c r="D10" s="23">
        <v>141241026.5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365656843.60000002</v>
      </c>
      <c r="C13" s="40">
        <f t="shared" ref="C13:D13" si="2">C14+C15</f>
        <v>213966.19</v>
      </c>
      <c r="D13" s="40">
        <f t="shared" si="2"/>
        <v>158480705.81999999</v>
      </c>
    </row>
    <row r="14" spans="1:11" x14ac:dyDescent="0.25">
      <c r="A14" s="53" t="s">
        <v>172</v>
      </c>
      <c r="B14" s="23">
        <v>158893481.59999999</v>
      </c>
      <c r="C14" s="23">
        <v>120899.39</v>
      </c>
      <c r="D14" s="23">
        <v>71675606.680000007</v>
      </c>
    </row>
    <row r="15" spans="1:11" x14ac:dyDescent="0.25">
      <c r="A15" s="53" t="s">
        <v>173</v>
      </c>
      <c r="B15" s="23">
        <v>206763362</v>
      </c>
      <c r="C15" s="23">
        <v>93066.8</v>
      </c>
      <c r="D15" s="23">
        <v>86805099.140000001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ht="14.25" x14ac:dyDescent="0.45">
      <c r="A19" s="53" t="s">
        <v>176</v>
      </c>
      <c r="B19" s="119">
        <v>0</v>
      </c>
      <c r="C19" s="23">
        <v>0</v>
      </c>
      <c r="D19" s="117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>C8-C13+C17</f>
        <v>-213966.19</v>
      </c>
      <c r="D21" s="40">
        <f t="shared" ref="D21" si="4">D8-D13+D17</f>
        <v>130886141.81999999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5">C21-C11</f>
        <v>-213966.19</v>
      </c>
      <c r="D23" s="40">
        <f t="shared" si="5"/>
        <v>130886141.81999999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6">C23-C17</f>
        <v>-213966.19</v>
      </c>
      <c r="D25" s="40">
        <f>D23-D17</f>
        <v>130886141.81999999</v>
      </c>
    </row>
    <row r="26" spans="1:4" ht="14.25" x14ac:dyDescent="0.45">
      <c r="A26" s="121"/>
      <c r="B26" s="13"/>
      <c r="C26" s="13"/>
      <c r="D26" s="13"/>
    </row>
    <row r="27" spans="1:4" ht="14.25" x14ac:dyDescent="0.45">
      <c r="A27" s="90"/>
    </row>
    <row r="28" spans="1:4" ht="30" customHeight="1" x14ac:dyDescent="0.4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ht="14.25" x14ac:dyDescent="0.4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ht="14.25" x14ac:dyDescent="0.45">
      <c r="A30" s="53" t="s">
        <v>187</v>
      </c>
      <c r="B30" s="60">
        <v>0</v>
      </c>
      <c r="C30" s="60">
        <v>0</v>
      </c>
      <c r="D30" s="60">
        <v>0</v>
      </c>
    </row>
    <row r="31" spans="1:4" ht="14.25" x14ac:dyDescent="0.45">
      <c r="A31" s="53" t="s">
        <v>188</v>
      </c>
      <c r="B31" s="60">
        <v>0</v>
      </c>
      <c r="C31" s="60">
        <v>0</v>
      </c>
      <c r="D31" s="60">
        <v>0</v>
      </c>
    </row>
    <row r="32" spans="1:4" ht="14.25" x14ac:dyDescent="0.45">
      <c r="A32" s="54"/>
      <c r="B32" s="54"/>
      <c r="C32" s="54"/>
      <c r="D32" s="54"/>
    </row>
    <row r="33" spans="1:4" ht="14.25" x14ac:dyDescent="0.45">
      <c r="A33" s="55" t="s">
        <v>189</v>
      </c>
      <c r="B33" s="61">
        <f>B25+B29</f>
        <v>0</v>
      </c>
      <c r="C33" s="61">
        <f t="shared" ref="C33:D33" si="8">C25+C29</f>
        <v>-213966.19</v>
      </c>
      <c r="D33" s="61">
        <f t="shared" si="8"/>
        <v>130886141.81999999</v>
      </c>
    </row>
    <row r="34" spans="1:4" ht="14.25" x14ac:dyDescent="0.4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158893481.59999999</v>
      </c>
      <c r="C48" s="124">
        <f>C9</f>
        <v>0</v>
      </c>
      <c r="D48" s="124">
        <f t="shared" ref="D48" si="12">D9</f>
        <v>148125821.13999999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158893481.59999999</v>
      </c>
      <c r="C53" s="60">
        <f t="shared" ref="C53:D53" si="14">C14</f>
        <v>120899.39</v>
      </c>
      <c r="D53" s="60">
        <f t="shared" si="14"/>
        <v>71675606.680000007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-120899.39</v>
      </c>
      <c r="D57" s="61">
        <f t="shared" ref="D57" si="16">D48+D49-D53+D55</f>
        <v>76450214.459999979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-120899.39</v>
      </c>
      <c r="D59" s="61">
        <f t="shared" si="17"/>
        <v>76450214.459999979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206763362</v>
      </c>
      <c r="C63" s="122">
        <f t="shared" ref="C63:D63" si="18">C10</f>
        <v>0</v>
      </c>
      <c r="D63" s="122">
        <f t="shared" si="18"/>
        <v>141241026.5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206763362</v>
      </c>
      <c r="C68" s="23">
        <f t="shared" ref="C68:D68" si="20">C15</f>
        <v>93066.8</v>
      </c>
      <c r="D68" s="23">
        <f t="shared" si="20"/>
        <v>86805099.140000001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-93066.8</v>
      </c>
      <c r="D72" s="40">
        <f t="shared" si="22"/>
        <v>54435927.359999999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-93066.8</v>
      </c>
      <c r="D74" s="40">
        <f t="shared" ref="D74" si="23">D72-D64</f>
        <v>54435927.359999999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365656843.60000002</v>
      </c>
      <c r="Q2" s="18">
        <f>'Formato 4'!C8</f>
        <v>0</v>
      </c>
      <c r="R2" s="18">
        <f>'Formato 4'!D8</f>
        <v>289366847.63999999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158893481.59999999</v>
      </c>
      <c r="Q3" s="18">
        <f>'Formato 4'!C9</f>
        <v>0</v>
      </c>
      <c r="R3" s="18">
        <f>'Formato 4'!D9</f>
        <v>148125821.13999999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206763362</v>
      </c>
      <c r="Q4" s="18">
        <f>'Formato 4'!C10</f>
        <v>0</v>
      </c>
      <c r="R4" s="18">
        <f>'Formato 4'!D10</f>
        <v>141241026.5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365656843.60000002</v>
      </c>
      <c r="Q6" s="18">
        <f>'Formato 4'!C13</f>
        <v>213966.19</v>
      </c>
      <c r="R6" s="18">
        <f>'Formato 4'!D13</f>
        <v>158480705.81999999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158893481.59999999</v>
      </c>
      <c r="Q7" s="18">
        <f>'Formato 4'!C14</f>
        <v>120899.39</v>
      </c>
      <c r="R7" s="18">
        <f>'Formato 4'!D14</f>
        <v>71675606.680000007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206763362</v>
      </c>
      <c r="Q8" s="18">
        <f>'Formato 4'!C15</f>
        <v>93066.8</v>
      </c>
      <c r="R8" s="18">
        <f>'Formato 4'!D15</f>
        <v>86805099.140000001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-213966.19</v>
      </c>
      <c r="R12" s="18">
        <f>'Formato 4'!D21</f>
        <v>130886141.81999999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-213966.19</v>
      </c>
      <c r="R13" s="18">
        <f>'Formato 4'!D23</f>
        <v>130886141.81999999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-213966.19</v>
      </c>
      <c r="R14" s="18">
        <f>'Formato 4'!D25</f>
        <v>130886141.81999999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-213966.19</v>
      </c>
      <c r="R18">
        <f>'Formato 4'!D33</f>
        <v>130886141.81999999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158893481.59999999</v>
      </c>
      <c r="Q26">
        <f>'Formato 4'!C48</f>
        <v>0</v>
      </c>
      <c r="R26">
        <f>'Formato 4'!D48</f>
        <v>148125821.13999999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158893481.59999999</v>
      </c>
      <c r="Q30">
        <f>'Formato 4'!C53</f>
        <v>120899.39</v>
      </c>
      <c r="R30">
        <f>'Formato 4'!D53</f>
        <v>71675606.680000007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206763362</v>
      </c>
      <c r="Q32">
        <f>'Formato 4'!C63</f>
        <v>0</v>
      </c>
      <c r="R32">
        <f>'Formato 4'!D63</f>
        <v>141241026.5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206763362</v>
      </c>
      <c r="Q36">
        <f>'Formato 4'!C68</f>
        <v>93066.8</v>
      </c>
      <c r="R36">
        <f>'Formato 4'!D68</f>
        <v>86805099.140000001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-93066.8</v>
      </c>
      <c r="R38">
        <f>'Formato 4'!D72</f>
        <v>54435927.359999999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-93066.8</v>
      </c>
      <c r="R39">
        <f>'Formato 4'!D74</f>
        <v>54435927.359999999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>
    <pageSetUpPr fitToPage="1"/>
  </sheetPr>
  <dimension ref="A1:H76"/>
  <sheetViews>
    <sheetView showGridLines="0" view="pageBreakPreview" zoomScale="60" zoomScaleNormal="85" workbookViewId="0">
      <selection activeCell="F74" sqref="F74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84" t="s">
        <v>206</v>
      </c>
      <c r="B1" s="184"/>
      <c r="C1" s="184"/>
      <c r="D1" s="184"/>
      <c r="E1" s="184"/>
      <c r="F1" s="184"/>
      <c r="G1" s="184"/>
    </row>
    <row r="2" spans="1:8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8"/>
    </row>
    <row r="3" spans="1:8" x14ac:dyDescent="0.25">
      <c r="A3" s="169" t="s">
        <v>207</v>
      </c>
      <c r="B3" s="170"/>
      <c r="C3" s="170"/>
      <c r="D3" s="170"/>
      <c r="E3" s="170"/>
      <c r="F3" s="170"/>
      <c r="G3" s="171"/>
    </row>
    <row r="4" spans="1:8" ht="14.25" x14ac:dyDescent="0.45">
      <c r="A4" s="172" t="str">
        <f>TRIMESTRE</f>
        <v>Del 1 de enero al 30 de junio de 2022 (b)</v>
      </c>
      <c r="B4" s="173"/>
      <c r="C4" s="173"/>
      <c r="D4" s="173"/>
      <c r="E4" s="173"/>
      <c r="F4" s="173"/>
      <c r="G4" s="174"/>
    </row>
    <row r="5" spans="1:8" ht="14.25" x14ac:dyDescent="0.45">
      <c r="A5" s="175" t="s">
        <v>118</v>
      </c>
      <c r="B5" s="176"/>
      <c r="C5" s="176"/>
      <c r="D5" s="176"/>
      <c r="E5" s="176"/>
      <c r="F5" s="176"/>
      <c r="G5" s="177"/>
    </row>
    <row r="6" spans="1:8" x14ac:dyDescent="0.25">
      <c r="A6" s="181" t="s">
        <v>214</v>
      </c>
      <c r="B6" s="183" t="s">
        <v>208</v>
      </c>
      <c r="C6" s="183"/>
      <c r="D6" s="183"/>
      <c r="E6" s="183"/>
      <c r="F6" s="183"/>
      <c r="G6" s="183" t="s">
        <v>209</v>
      </c>
    </row>
    <row r="7" spans="1:8" ht="30" x14ac:dyDescent="0.25">
      <c r="A7" s="18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8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-21437415.34</v>
      </c>
      <c r="C9" s="60">
        <v>-1173696.97</v>
      </c>
      <c r="D9" s="60">
        <v>-22611112.309999999</v>
      </c>
      <c r="E9" s="60">
        <v>0</v>
      </c>
      <c r="F9" s="60">
        <v>-23314344.960000001</v>
      </c>
      <c r="G9" s="60">
        <f>F9-B9</f>
        <v>-1876929.620000001</v>
      </c>
      <c r="H9" s="8"/>
    </row>
    <row r="10" spans="1:8" ht="14.25" x14ac:dyDescent="0.45">
      <c r="A10" s="53" t="s">
        <v>217</v>
      </c>
      <c r="B10" s="60"/>
      <c r="C10" s="60"/>
      <c r="D10" s="60"/>
      <c r="E10" s="60"/>
      <c r="F10" s="60"/>
      <c r="G10" s="60">
        <f t="shared" ref="G10:G15" si="0">F10-B10</f>
        <v>0</v>
      </c>
    </row>
    <row r="11" spans="1:8" ht="14.25" x14ac:dyDescent="0.45">
      <c r="A11" s="53" t="s">
        <v>218</v>
      </c>
      <c r="B11" s="60"/>
      <c r="C11" s="60"/>
      <c r="D11" s="60"/>
      <c r="E11" s="60"/>
      <c r="F11" s="60"/>
      <c r="G11" s="60">
        <f t="shared" si="0"/>
        <v>0</v>
      </c>
    </row>
    <row r="12" spans="1:8" x14ac:dyDescent="0.25">
      <c r="A12" s="53" t="s">
        <v>219</v>
      </c>
      <c r="B12" s="60">
        <v>-5967941.5800000001</v>
      </c>
      <c r="C12" s="60">
        <v>333653.63</v>
      </c>
      <c r="D12" s="60">
        <v>-5634287.9500000002</v>
      </c>
      <c r="E12" s="60">
        <v>0</v>
      </c>
      <c r="F12" s="60">
        <v>-3587389.16</v>
      </c>
      <c r="G12" s="60">
        <f t="shared" si="0"/>
        <v>2380552.42</v>
      </c>
    </row>
    <row r="13" spans="1:8" x14ac:dyDescent="0.25">
      <c r="A13" s="53" t="s">
        <v>220</v>
      </c>
      <c r="B13" s="60">
        <v>-4462653.18</v>
      </c>
      <c r="C13" s="60">
        <v>774840.62000000011</v>
      </c>
      <c r="D13" s="60">
        <v>-3687812.56</v>
      </c>
      <c r="E13" s="60">
        <v>0</v>
      </c>
      <c r="F13" s="60">
        <v>-3435885.67</v>
      </c>
      <c r="G13" s="60">
        <f t="shared" si="0"/>
        <v>1026767.5099999998</v>
      </c>
    </row>
    <row r="14" spans="1:8" x14ac:dyDescent="0.25">
      <c r="A14" s="53" t="s">
        <v>221</v>
      </c>
      <c r="B14" s="60">
        <v>-2213964.98</v>
      </c>
      <c r="C14" s="60">
        <v>168377.81</v>
      </c>
      <c r="D14" s="60">
        <v>-2045587.17</v>
      </c>
      <c r="E14" s="60">
        <v>0</v>
      </c>
      <c r="F14" s="60">
        <v>-1235517.0900000001</v>
      </c>
      <c r="G14" s="60">
        <f t="shared" si="0"/>
        <v>978447.8899999999</v>
      </c>
    </row>
    <row r="15" spans="1:8" ht="14.25" x14ac:dyDescent="0.45">
      <c r="A15" s="53" t="s">
        <v>222</v>
      </c>
      <c r="B15" s="60"/>
      <c r="C15" s="60"/>
      <c r="D15" s="60"/>
      <c r="E15" s="60"/>
      <c r="F15" s="60"/>
      <c r="G15" s="60">
        <f t="shared" si="0"/>
        <v>0</v>
      </c>
    </row>
    <row r="16" spans="1:8" ht="14.25" x14ac:dyDescent="0.45">
      <c r="A16" s="10" t="s">
        <v>275</v>
      </c>
      <c r="B16" s="60">
        <f>SUM(B17:B27)</f>
        <v>-123013118.42</v>
      </c>
      <c r="C16" s="60">
        <f t="shared" ref="C16:F16" si="1">SUM(C17:C27)</f>
        <v>-19040181.439999998</v>
      </c>
      <c r="D16" s="60">
        <f t="shared" si="1"/>
        <v>-142053299.86000001</v>
      </c>
      <c r="E16" s="60">
        <f t="shared" si="1"/>
        <v>0</v>
      </c>
      <c r="F16" s="60">
        <f t="shared" si="1"/>
        <v>-84457372.979999989</v>
      </c>
      <c r="G16" s="60">
        <f>SUM(G17:G27)</f>
        <v>38555745.439999998</v>
      </c>
    </row>
    <row r="17" spans="1:7" x14ac:dyDescent="0.25">
      <c r="A17" s="63" t="s">
        <v>223</v>
      </c>
      <c r="B17" s="60">
        <v>-81013118.420000002</v>
      </c>
      <c r="C17" s="60">
        <v>-13709641.58</v>
      </c>
      <c r="D17" s="60">
        <v>-94722760</v>
      </c>
      <c r="E17" s="60">
        <v>0</v>
      </c>
      <c r="F17" s="60">
        <v>-57249104.890000001</v>
      </c>
      <c r="G17" s="60">
        <f>F17-B17</f>
        <v>23764013.530000001</v>
      </c>
    </row>
    <row r="18" spans="1:7" x14ac:dyDescent="0.25">
      <c r="A18" s="63" t="s">
        <v>224</v>
      </c>
      <c r="B18" s="60">
        <v>-24900000</v>
      </c>
      <c r="C18" s="60">
        <v>-3535682</v>
      </c>
      <c r="D18" s="60">
        <v>-28435682</v>
      </c>
      <c r="E18" s="60">
        <v>0</v>
      </c>
      <c r="F18" s="60">
        <v>-16617792.939999999</v>
      </c>
      <c r="G18" s="60">
        <f t="shared" ref="G18:G27" si="2">F18-B18</f>
        <v>8282207.0600000005</v>
      </c>
    </row>
    <row r="19" spans="1:7" x14ac:dyDescent="0.25">
      <c r="A19" s="63" t="s">
        <v>225</v>
      </c>
      <c r="B19" s="60">
        <v>-4700000</v>
      </c>
      <c r="C19" s="60">
        <v>-475551</v>
      </c>
      <c r="D19" s="60">
        <v>-5175551</v>
      </c>
      <c r="E19" s="60">
        <v>0</v>
      </c>
      <c r="F19" s="60">
        <v>-2736580.88</v>
      </c>
      <c r="G19" s="60">
        <f t="shared" si="2"/>
        <v>1963419.12</v>
      </c>
    </row>
    <row r="20" spans="1:7" x14ac:dyDescent="0.25">
      <c r="A20" s="63" t="s">
        <v>226</v>
      </c>
      <c r="B20" s="60"/>
      <c r="C20" s="60"/>
      <c r="D20" s="60"/>
      <c r="E20" s="60"/>
      <c r="F20" s="60"/>
      <c r="G20" s="60">
        <f t="shared" si="2"/>
        <v>0</v>
      </c>
    </row>
    <row r="21" spans="1:7" x14ac:dyDescent="0.25">
      <c r="A21" s="63" t="s">
        <v>227</v>
      </c>
      <c r="B21" s="60"/>
      <c r="C21" s="60"/>
      <c r="D21" s="60"/>
      <c r="E21" s="60"/>
      <c r="F21" s="60"/>
      <c r="G21" s="60">
        <f t="shared" si="2"/>
        <v>0</v>
      </c>
    </row>
    <row r="22" spans="1:7" x14ac:dyDescent="0.25">
      <c r="A22" s="63" t="s">
        <v>228</v>
      </c>
      <c r="B22" s="60">
        <v>-2700000</v>
      </c>
      <c r="C22" s="60">
        <v>-219664</v>
      </c>
      <c r="D22" s="60">
        <v>-2919664</v>
      </c>
      <c r="E22" s="60">
        <v>0</v>
      </c>
      <c r="F22" s="60">
        <v>-1695378.77</v>
      </c>
      <c r="G22" s="60">
        <f t="shared" si="2"/>
        <v>1004621.23</v>
      </c>
    </row>
    <row r="23" spans="1:7" x14ac:dyDescent="0.25">
      <c r="A23" s="63" t="s">
        <v>229</v>
      </c>
      <c r="B23" s="60"/>
      <c r="C23" s="60"/>
      <c r="D23" s="60"/>
      <c r="E23" s="60"/>
      <c r="F23" s="60"/>
      <c r="G23" s="60">
        <f t="shared" si="2"/>
        <v>0</v>
      </c>
    </row>
    <row r="24" spans="1:7" x14ac:dyDescent="0.25">
      <c r="A24" s="63" t="s">
        <v>230</v>
      </c>
      <c r="B24" s="60"/>
      <c r="C24" s="60"/>
      <c r="D24" s="60"/>
      <c r="E24" s="60"/>
      <c r="F24" s="60"/>
      <c r="G24" s="60">
        <f t="shared" si="2"/>
        <v>0</v>
      </c>
    </row>
    <row r="25" spans="1:7" x14ac:dyDescent="0.25">
      <c r="A25" s="63" t="s">
        <v>231</v>
      </c>
      <c r="B25" s="60">
        <v>-2900000</v>
      </c>
      <c r="C25" s="60">
        <v>-400950.49</v>
      </c>
      <c r="D25" s="60">
        <v>-3300950.49</v>
      </c>
      <c r="E25" s="60">
        <v>0</v>
      </c>
      <c r="F25" s="60">
        <v>-685280.5</v>
      </c>
      <c r="G25" s="60">
        <f t="shared" si="2"/>
        <v>2214719.5</v>
      </c>
    </row>
    <row r="26" spans="1:7" x14ac:dyDescent="0.25">
      <c r="A26" s="63" t="s">
        <v>232</v>
      </c>
      <c r="B26" s="60">
        <v>-6800000</v>
      </c>
      <c r="C26" s="60">
        <v>-698692.37</v>
      </c>
      <c r="D26" s="60">
        <v>-7498692.3700000001</v>
      </c>
      <c r="E26" s="60">
        <v>0</v>
      </c>
      <c r="F26" s="60">
        <v>-5473235</v>
      </c>
      <c r="G26" s="60">
        <f t="shared" si="2"/>
        <v>1326765</v>
      </c>
    </row>
    <row r="27" spans="1:7" x14ac:dyDescent="0.25">
      <c r="A27" s="63" t="s">
        <v>233</v>
      </c>
      <c r="B27" s="60"/>
      <c r="C27" s="60"/>
      <c r="D27" s="60"/>
      <c r="E27" s="60"/>
      <c r="F27" s="60"/>
      <c r="G27" s="60">
        <f t="shared" si="2"/>
        <v>0</v>
      </c>
    </row>
    <row r="28" spans="1:7" x14ac:dyDescent="0.25">
      <c r="A28" s="53" t="s">
        <v>234</v>
      </c>
      <c r="B28" s="60">
        <f>SUM(B29:B33)</f>
        <v>-1798388.1</v>
      </c>
      <c r="C28" s="60">
        <f t="shared" ref="C28:G28" si="3">SUM(C29:C33)</f>
        <v>-1056214.1299999999</v>
      </c>
      <c r="D28" s="60">
        <f t="shared" si="3"/>
        <v>-2854602.23</v>
      </c>
      <c r="E28" s="60">
        <f t="shared" si="3"/>
        <v>0</v>
      </c>
      <c r="F28" s="60">
        <f t="shared" si="3"/>
        <v>-1543765.17</v>
      </c>
      <c r="G28" s="60">
        <f t="shared" si="3"/>
        <v>254622.92999999988</v>
      </c>
    </row>
    <row r="29" spans="1:7" x14ac:dyDescent="0.25">
      <c r="A29" s="63" t="s">
        <v>235</v>
      </c>
      <c r="B29" s="60">
        <v>-7350</v>
      </c>
      <c r="C29" s="60">
        <v>5430.61</v>
      </c>
      <c r="D29" s="60">
        <v>-1919.39</v>
      </c>
      <c r="E29" s="60">
        <v>0</v>
      </c>
      <c r="F29" s="60">
        <v>-2289.58</v>
      </c>
      <c r="G29" s="60">
        <f>F29-B29</f>
        <v>5060.42</v>
      </c>
    </row>
    <row r="30" spans="1:7" x14ac:dyDescent="0.25">
      <c r="A30" s="63" t="s">
        <v>236</v>
      </c>
      <c r="B30" s="60">
        <v>-238061</v>
      </c>
      <c r="C30" s="60">
        <v>-385268.33</v>
      </c>
      <c r="D30" s="60">
        <v>-623329.32999999996</v>
      </c>
      <c r="E30" s="60">
        <v>0</v>
      </c>
      <c r="F30" s="60">
        <v>-766742.09</v>
      </c>
      <c r="G30" s="60">
        <f>F30-B30</f>
        <v>-528681.09</v>
      </c>
    </row>
    <row r="31" spans="1:7" x14ac:dyDescent="0.25">
      <c r="A31" s="63" t="s">
        <v>237</v>
      </c>
      <c r="B31" s="60">
        <v>-1146354</v>
      </c>
      <c r="C31" s="60">
        <v>-155828</v>
      </c>
      <c r="D31" s="60">
        <v>-1302182</v>
      </c>
      <c r="E31" s="60">
        <v>0</v>
      </c>
      <c r="F31" s="60">
        <v>-123534.82</v>
      </c>
      <c r="G31" s="60">
        <f t="shared" ref="G31:G34" si="4">F31-B31</f>
        <v>1022819.1799999999</v>
      </c>
    </row>
    <row r="32" spans="1:7" x14ac:dyDescent="0.25">
      <c r="A32" s="63" t="s">
        <v>238</v>
      </c>
      <c r="B32" s="60"/>
      <c r="C32" s="60"/>
      <c r="D32" s="60"/>
      <c r="E32" s="60"/>
      <c r="F32" s="60"/>
      <c r="G32" s="60">
        <f t="shared" si="4"/>
        <v>0</v>
      </c>
    </row>
    <row r="33" spans="1:8" x14ac:dyDescent="0.25">
      <c r="A33" s="63" t="s">
        <v>239</v>
      </c>
      <c r="B33" s="60">
        <v>-406623.1</v>
      </c>
      <c r="C33" s="60">
        <v>-520548.41000000003</v>
      </c>
      <c r="D33" s="60">
        <v>-927171.51</v>
      </c>
      <c r="E33" s="60">
        <v>0</v>
      </c>
      <c r="F33" s="60">
        <v>-651198.68000000005</v>
      </c>
      <c r="G33" s="60">
        <f t="shared" si="4"/>
        <v>-244575.58000000007</v>
      </c>
    </row>
    <row r="34" spans="1:8" ht="14.25" x14ac:dyDescent="0.45">
      <c r="A34" s="53" t="s">
        <v>240</v>
      </c>
      <c r="B34" s="60"/>
      <c r="C34" s="60"/>
      <c r="D34" s="60"/>
      <c r="E34" s="60"/>
      <c r="F34" s="60"/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F35" si="5">C36</f>
        <v>-4037437.3899999997</v>
      </c>
      <c r="D35" s="60">
        <f t="shared" si="5"/>
        <v>-4037437.3899999997</v>
      </c>
      <c r="E35" s="60">
        <f t="shared" si="5"/>
        <v>0</v>
      </c>
      <c r="F35" s="60">
        <f t="shared" si="5"/>
        <v>-4046853.77</v>
      </c>
      <c r="G35" s="60">
        <f>G36</f>
        <v>-4046853.77</v>
      </c>
    </row>
    <row r="36" spans="1:8" x14ac:dyDescent="0.25">
      <c r="A36" s="63" t="s">
        <v>242</v>
      </c>
      <c r="B36" s="60">
        <v>0</v>
      </c>
      <c r="C36" s="60">
        <v>-4037437.3899999997</v>
      </c>
      <c r="D36" s="60">
        <v>-4037437.3899999997</v>
      </c>
      <c r="E36" s="60">
        <v>0</v>
      </c>
      <c r="F36" s="60">
        <v>-4046853.77</v>
      </c>
      <c r="G36" s="60">
        <f>F36-B36</f>
        <v>-4046853.77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-26505595.579999998</v>
      </c>
      <c r="D37" s="60">
        <f t="shared" si="6"/>
        <v>-26505595.579999998</v>
      </c>
      <c r="E37" s="60">
        <f t="shared" si="6"/>
        <v>0</v>
      </c>
      <c r="F37" s="60">
        <f t="shared" si="6"/>
        <v>-26504692.34</v>
      </c>
      <c r="G37" s="60">
        <f t="shared" si="6"/>
        <v>-26504692.34</v>
      </c>
    </row>
    <row r="38" spans="1:8" x14ac:dyDescent="0.25">
      <c r="A38" s="63" t="s">
        <v>244</v>
      </c>
      <c r="B38" s="60"/>
      <c r="C38" s="60"/>
      <c r="D38" s="60"/>
      <c r="E38" s="60"/>
      <c r="F38" s="60"/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-26505595.579999998</v>
      </c>
      <c r="D39" s="60">
        <v>-26505595.579999998</v>
      </c>
      <c r="E39" s="60">
        <v>0</v>
      </c>
      <c r="F39" s="60">
        <v>-26504692.34</v>
      </c>
      <c r="G39" s="60">
        <f>F39-B39</f>
        <v>-26504692.34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-158893481.59999999</v>
      </c>
      <c r="C41" s="61">
        <f t="shared" ref="C41:E41" si="7">SUM(C9,C10,C11,C12,C13,C14,C15,C16,C28,C34,C35,C37)</f>
        <v>-50536253.449999996</v>
      </c>
      <c r="D41" s="61">
        <f t="shared" si="7"/>
        <v>-209429735.05000001</v>
      </c>
      <c r="E41" s="61">
        <f t="shared" si="7"/>
        <v>0</v>
      </c>
      <c r="F41" s="61">
        <f>SUM(F9,F10,F11,F12,F13,F14,F15,F16,F28,F34,F35,F37)</f>
        <v>-148125821.13999999</v>
      </c>
      <c r="G41" s="61">
        <f>SUM(G9,G10,G11,G12,G13,G14,G15,G16,G28,G34,G35,G37)</f>
        <v>10767660.45999999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10767660.45999999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-206763362</v>
      </c>
      <c r="C45" s="60">
        <f t="shared" ref="C45:G45" si="8">SUM(C46:C53)</f>
        <v>-6783299.3200000003</v>
      </c>
      <c r="D45" s="60">
        <f t="shared" si="8"/>
        <v>-213546661.31999999</v>
      </c>
      <c r="E45" s="60">
        <f t="shared" si="8"/>
        <v>0</v>
      </c>
      <c r="F45" s="60">
        <f t="shared" si="8"/>
        <v>-119294954.37</v>
      </c>
      <c r="G45" s="60">
        <f t="shared" si="8"/>
        <v>87468407.629999995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>
        <f>F46-B46</f>
        <v>0</v>
      </c>
    </row>
    <row r="47" spans="1:8" x14ac:dyDescent="0.25">
      <c r="A47" s="69" t="s">
        <v>250</v>
      </c>
      <c r="B47" s="60"/>
      <c r="C47" s="60"/>
      <c r="D47" s="60"/>
      <c r="E47" s="60"/>
      <c r="F47" s="60"/>
      <c r="G47" s="60">
        <f t="shared" ref="G47:G53" si="9">F47-B47</f>
        <v>0</v>
      </c>
    </row>
    <row r="48" spans="1:8" x14ac:dyDescent="0.25">
      <c r="A48" s="69" t="s">
        <v>251</v>
      </c>
      <c r="B48" s="60">
        <v>-128875057</v>
      </c>
      <c r="C48" s="60">
        <v>4831663.49</v>
      </c>
      <c r="D48" s="60">
        <v>-124043393.50999999</v>
      </c>
      <c r="E48" s="60">
        <v>0</v>
      </c>
      <c r="F48" s="60">
        <v>-74482523.859999999</v>
      </c>
      <c r="G48" s="60">
        <f t="shared" si="9"/>
        <v>54392533.140000001</v>
      </c>
    </row>
    <row r="49" spans="1:7" ht="30" x14ac:dyDescent="0.25">
      <c r="A49" s="69" t="s">
        <v>252</v>
      </c>
      <c r="B49" s="60">
        <v>-77888305</v>
      </c>
      <c r="C49" s="60">
        <v>-11614962.810000001</v>
      </c>
      <c r="D49" s="60">
        <v>-89503267.810000002</v>
      </c>
      <c r="E49" s="60">
        <v>0</v>
      </c>
      <c r="F49" s="60">
        <v>-44812430.509999998</v>
      </c>
      <c r="G49" s="60">
        <f t="shared" si="9"/>
        <v>33075874.490000002</v>
      </c>
    </row>
    <row r="50" spans="1:7" x14ac:dyDescent="0.25">
      <c r="A50" s="69" t="s">
        <v>253</v>
      </c>
      <c r="B50" s="60"/>
      <c r="C50" s="60"/>
      <c r="D50" s="60"/>
      <c r="E50" s="60"/>
      <c r="F50" s="60"/>
      <c r="G50" s="60">
        <f t="shared" si="9"/>
        <v>0</v>
      </c>
    </row>
    <row r="51" spans="1:7" x14ac:dyDescent="0.25">
      <c r="A51" s="69" t="s">
        <v>254</v>
      </c>
      <c r="B51" s="60"/>
      <c r="C51" s="60"/>
      <c r="D51" s="60"/>
      <c r="E51" s="60"/>
      <c r="F51" s="60"/>
      <c r="G51" s="60">
        <f t="shared" si="9"/>
        <v>0</v>
      </c>
    </row>
    <row r="52" spans="1:7" x14ac:dyDescent="0.25">
      <c r="A52" s="48" t="s">
        <v>255</v>
      </c>
      <c r="B52" s="60"/>
      <c r="C52" s="60"/>
      <c r="D52" s="60"/>
      <c r="E52" s="60"/>
      <c r="F52" s="60"/>
      <c r="G52" s="60">
        <f t="shared" si="9"/>
        <v>0</v>
      </c>
    </row>
    <row r="53" spans="1:7" x14ac:dyDescent="0.25">
      <c r="A53" s="63" t="s">
        <v>256</v>
      </c>
      <c r="B53" s="60"/>
      <c r="C53" s="60"/>
      <c r="D53" s="60"/>
      <c r="E53" s="60"/>
      <c r="F53" s="60"/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-57101128.25</v>
      </c>
      <c r="D54" s="60">
        <f t="shared" si="10"/>
        <v>-57101128.25</v>
      </c>
      <c r="E54" s="60">
        <f t="shared" si="10"/>
        <v>0</v>
      </c>
      <c r="F54" s="60">
        <f t="shared" si="10"/>
        <v>-6924179.8600000003</v>
      </c>
      <c r="G54" s="60">
        <f t="shared" si="10"/>
        <v>-6924179.8600000003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>
        <f>F55-B55</f>
        <v>0</v>
      </c>
    </row>
    <row r="56" spans="1:7" x14ac:dyDescent="0.25">
      <c r="A56" s="69" t="s">
        <v>259</v>
      </c>
      <c r="B56" s="60"/>
      <c r="C56" s="60"/>
      <c r="D56" s="60"/>
      <c r="E56" s="60"/>
      <c r="F56" s="60"/>
      <c r="G56" s="60">
        <f t="shared" ref="G56:G58" si="11">F56-B56</f>
        <v>0</v>
      </c>
    </row>
    <row r="57" spans="1:7" x14ac:dyDescent="0.25">
      <c r="A57" s="69" t="s">
        <v>260</v>
      </c>
      <c r="B57" s="60"/>
      <c r="C57" s="60"/>
      <c r="D57" s="60"/>
      <c r="E57" s="60"/>
      <c r="F57" s="60"/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-57101128.25</v>
      </c>
      <c r="D58" s="60">
        <v>-57101128.25</v>
      </c>
      <c r="E58" s="60">
        <v>0</v>
      </c>
      <c r="F58" s="60">
        <v>-6924179.8600000003</v>
      </c>
      <c r="G58" s="60">
        <f t="shared" si="11"/>
        <v>-6924179.8600000003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>
        <f>F60-B60</f>
        <v>0</v>
      </c>
    </row>
    <row r="61" spans="1:7" x14ac:dyDescent="0.25">
      <c r="A61" s="69" t="s">
        <v>264</v>
      </c>
      <c r="B61" s="60"/>
      <c r="C61" s="60"/>
      <c r="D61" s="60"/>
      <c r="E61" s="60"/>
      <c r="F61" s="60"/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-15098479.1</v>
      </c>
      <c r="D63" s="60">
        <v>-15098479.1</v>
      </c>
      <c r="E63" s="60">
        <v>0</v>
      </c>
      <c r="F63" s="60">
        <v>-15021892.27</v>
      </c>
      <c r="G63" s="60">
        <f>F63-B63</f>
        <v>-15021892.27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-206763362</v>
      </c>
      <c r="C65" s="61">
        <f t="shared" ref="C65:G65" si="13">C45+C54+C59+C62+C63</f>
        <v>-78982906.670000002</v>
      </c>
      <c r="D65" s="61">
        <f t="shared" si="13"/>
        <v>-285746268.67000002</v>
      </c>
      <c r="E65" s="61">
        <f t="shared" si="13"/>
        <v>0</v>
      </c>
      <c r="F65" s="61">
        <f t="shared" si="13"/>
        <v>-141241026.5</v>
      </c>
      <c r="G65" s="61">
        <f t="shared" si="13"/>
        <v>65522335.5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-365656843.60000002</v>
      </c>
      <c r="C70" s="61">
        <f t="shared" ref="C70:G70" si="15">C41+C65+C67</f>
        <v>-129519160.12</v>
      </c>
      <c r="D70" s="61">
        <f t="shared" si="15"/>
        <v>-495176003.72000003</v>
      </c>
      <c r="E70" s="61">
        <f t="shared" si="15"/>
        <v>0</v>
      </c>
      <c r="F70" s="61">
        <f t="shared" si="15"/>
        <v>-289366847.63999999</v>
      </c>
      <c r="G70" s="61">
        <f t="shared" si="15"/>
        <v>76289995.959999993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-21437415.34</v>
      </c>
      <c r="Q3" s="18">
        <f>'Formato 5'!C9</f>
        <v>-1173696.97</v>
      </c>
      <c r="R3" s="18">
        <f>'Formato 5'!D9</f>
        <v>-22611112.309999999</v>
      </c>
      <c r="S3" s="18">
        <f>'Formato 5'!E9</f>
        <v>0</v>
      </c>
      <c r="T3" s="18">
        <f>'Formato 5'!F9</f>
        <v>-23314344.960000001</v>
      </c>
      <c r="U3" s="18">
        <f>'Formato 5'!G9</f>
        <v>-1876929.620000001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-5967941.5800000001</v>
      </c>
      <c r="Q6" s="18">
        <f>'Formato 5'!C12</f>
        <v>333653.63</v>
      </c>
      <c r="R6" s="18">
        <f>'Formato 5'!D12</f>
        <v>-5634287.9500000002</v>
      </c>
      <c r="S6" s="18">
        <f>'Formato 5'!E12</f>
        <v>0</v>
      </c>
      <c r="T6" s="18">
        <f>'Formato 5'!F12</f>
        <v>-3587389.16</v>
      </c>
      <c r="U6" s="18">
        <f>'Formato 5'!G12</f>
        <v>2380552.42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-4462653.18</v>
      </c>
      <c r="Q7" s="18">
        <f>'Formato 5'!C13</f>
        <v>774840.62000000011</v>
      </c>
      <c r="R7" s="18">
        <f>'Formato 5'!D13</f>
        <v>-3687812.56</v>
      </c>
      <c r="S7" s="18">
        <f>'Formato 5'!E13</f>
        <v>0</v>
      </c>
      <c r="T7" s="18">
        <f>'Formato 5'!F13</f>
        <v>-3435885.67</v>
      </c>
      <c r="U7" s="18">
        <f>'Formato 5'!G13</f>
        <v>1026767.5099999998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-2213964.98</v>
      </c>
      <c r="Q8" s="18">
        <f>'Formato 5'!C14</f>
        <v>168377.81</v>
      </c>
      <c r="R8" s="18">
        <f>'Formato 5'!D14</f>
        <v>-2045587.17</v>
      </c>
      <c r="S8" s="18">
        <f>'Formato 5'!E14</f>
        <v>0</v>
      </c>
      <c r="T8" s="18">
        <f>'Formato 5'!F14</f>
        <v>-1235517.0900000001</v>
      </c>
      <c r="U8" s="18">
        <f>'Formato 5'!G14</f>
        <v>978447.8899999999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-123013118.42</v>
      </c>
      <c r="Q10" s="18">
        <f>'Formato 5'!C16</f>
        <v>-19040181.439999998</v>
      </c>
      <c r="R10" s="18">
        <f>'Formato 5'!D16</f>
        <v>-142053299.86000001</v>
      </c>
      <c r="S10" s="18">
        <f>'Formato 5'!E16</f>
        <v>0</v>
      </c>
      <c r="T10" s="18">
        <f>'Formato 5'!F16</f>
        <v>-84457372.979999989</v>
      </c>
      <c r="U10" s="18">
        <f>'Formato 5'!G16</f>
        <v>38555745.439999998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-81013118.420000002</v>
      </c>
      <c r="Q11" s="18">
        <f>'Formato 5'!C17</f>
        <v>-13709641.58</v>
      </c>
      <c r="R11" s="18">
        <f>'Formato 5'!D17</f>
        <v>-94722760</v>
      </c>
      <c r="S11" s="18">
        <f>'Formato 5'!E17</f>
        <v>0</v>
      </c>
      <c r="T11" s="18">
        <f>'Formato 5'!F17</f>
        <v>-57249104.890000001</v>
      </c>
      <c r="U11" s="18">
        <f>'Formato 5'!G17</f>
        <v>23764013.530000001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-24900000</v>
      </c>
      <c r="Q12" s="18">
        <f>'Formato 5'!C18</f>
        <v>-3535682</v>
      </c>
      <c r="R12" s="18">
        <f>'Formato 5'!D18</f>
        <v>-28435682</v>
      </c>
      <c r="S12" s="18">
        <f>'Formato 5'!E18</f>
        <v>0</v>
      </c>
      <c r="T12" s="18">
        <f>'Formato 5'!F18</f>
        <v>-16617792.939999999</v>
      </c>
      <c r="U12" s="18">
        <f>'Formato 5'!G18</f>
        <v>8282207.0600000005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-4700000</v>
      </c>
      <c r="Q13" s="18">
        <f>'Formato 5'!C19</f>
        <v>-475551</v>
      </c>
      <c r="R13" s="18">
        <f>'Formato 5'!D19</f>
        <v>-5175551</v>
      </c>
      <c r="S13" s="18">
        <f>'Formato 5'!E19</f>
        <v>0</v>
      </c>
      <c r="T13" s="18">
        <f>'Formato 5'!F19</f>
        <v>-2736580.88</v>
      </c>
      <c r="U13" s="18">
        <f>'Formato 5'!G19</f>
        <v>1963419.12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-2700000</v>
      </c>
      <c r="Q16" s="18">
        <f>'Formato 5'!C22</f>
        <v>-219664</v>
      </c>
      <c r="R16" s="18">
        <f>'Formato 5'!D22</f>
        <v>-2919664</v>
      </c>
      <c r="S16" s="18">
        <f>'Formato 5'!E22</f>
        <v>0</v>
      </c>
      <c r="T16" s="18">
        <f>'Formato 5'!F22</f>
        <v>-1695378.77</v>
      </c>
      <c r="U16" s="18">
        <f>'Formato 5'!G22</f>
        <v>1004621.23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-2900000</v>
      </c>
      <c r="Q19" s="18">
        <f>'Formato 5'!C25</f>
        <v>-400950.49</v>
      </c>
      <c r="R19" s="18">
        <f>'Formato 5'!D25</f>
        <v>-3300950.49</v>
      </c>
      <c r="S19" s="18">
        <f>'Formato 5'!E25</f>
        <v>0</v>
      </c>
      <c r="T19" s="18">
        <f>'Formato 5'!F25</f>
        <v>-685280.5</v>
      </c>
      <c r="U19" s="18">
        <f>'Formato 5'!G25</f>
        <v>2214719.5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-6800000</v>
      </c>
      <c r="Q20" s="18">
        <f>'Formato 5'!C26</f>
        <v>-698692.37</v>
      </c>
      <c r="R20" s="18">
        <f>'Formato 5'!D26</f>
        <v>-7498692.3700000001</v>
      </c>
      <c r="S20" s="18">
        <f>'Formato 5'!E26</f>
        <v>0</v>
      </c>
      <c r="T20" s="18">
        <f>'Formato 5'!F26</f>
        <v>-5473235</v>
      </c>
      <c r="U20" s="18">
        <f>'Formato 5'!G26</f>
        <v>1326765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-1798388.1</v>
      </c>
      <c r="Q22" s="18">
        <f>'Formato 5'!C28</f>
        <v>-1056214.1299999999</v>
      </c>
      <c r="R22" s="18">
        <f>'Formato 5'!D28</f>
        <v>-2854602.23</v>
      </c>
      <c r="S22" s="18">
        <f>'Formato 5'!E28</f>
        <v>0</v>
      </c>
      <c r="T22" s="18">
        <f>'Formato 5'!F28</f>
        <v>-1543765.17</v>
      </c>
      <c r="U22" s="18">
        <f>'Formato 5'!G28</f>
        <v>254622.92999999988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-7350</v>
      </c>
      <c r="Q23" s="18">
        <f>'Formato 5'!C29</f>
        <v>5430.61</v>
      </c>
      <c r="R23" s="18">
        <f>'Formato 5'!D29</f>
        <v>-1919.39</v>
      </c>
      <c r="S23" s="18">
        <f>'Formato 5'!E29</f>
        <v>0</v>
      </c>
      <c r="T23" s="18">
        <f>'Formato 5'!F29</f>
        <v>-2289.58</v>
      </c>
      <c r="U23" s="18">
        <f>'Formato 5'!G29</f>
        <v>5060.42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-238061</v>
      </c>
      <c r="Q24" s="18">
        <f>'Formato 5'!C30</f>
        <v>-385268.33</v>
      </c>
      <c r="R24" s="18">
        <f>'Formato 5'!D30</f>
        <v>-623329.32999999996</v>
      </c>
      <c r="S24" s="18">
        <f>'Formato 5'!E30</f>
        <v>0</v>
      </c>
      <c r="T24" s="18">
        <f>'Formato 5'!F30</f>
        <v>-766742.09</v>
      </c>
      <c r="U24" s="18">
        <f>'Formato 5'!G30</f>
        <v>-528681.09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-1146354</v>
      </c>
      <c r="Q25" s="18">
        <f>'Formato 5'!C31</f>
        <v>-155828</v>
      </c>
      <c r="R25" s="18">
        <f>'Formato 5'!D31</f>
        <v>-1302182</v>
      </c>
      <c r="S25" s="18">
        <f>'Formato 5'!E31</f>
        <v>0</v>
      </c>
      <c r="T25" s="18">
        <f>'Formato 5'!F31</f>
        <v>-123534.82</v>
      </c>
      <c r="U25" s="18">
        <f>'Formato 5'!G31</f>
        <v>1022819.1799999999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-406623.1</v>
      </c>
      <c r="Q27" s="18">
        <f>'Formato 5'!C33</f>
        <v>-520548.41000000003</v>
      </c>
      <c r="R27" s="18">
        <f>'Formato 5'!D33</f>
        <v>-927171.51</v>
      </c>
      <c r="S27" s="18">
        <f>'Formato 5'!E33</f>
        <v>0</v>
      </c>
      <c r="T27" s="18">
        <f>'Formato 5'!F33</f>
        <v>-651198.68000000005</v>
      </c>
      <c r="U27" s="18">
        <f>'Formato 5'!G33</f>
        <v>-244575.58000000007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-4037437.3899999997</v>
      </c>
      <c r="R29" s="18">
        <f>'Formato 5'!D35</f>
        <v>-4037437.3899999997</v>
      </c>
      <c r="S29" s="18">
        <f>'Formato 5'!E35</f>
        <v>0</v>
      </c>
      <c r="T29" s="18">
        <f>'Formato 5'!F35</f>
        <v>-4046853.77</v>
      </c>
      <c r="U29" s="18">
        <f>'Formato 5'!G35</f>
        <v>-4046853.77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-4037437.3899999997</v>
      </c>
      <c r="R30" s="18">
        <f>'Formato 5'!D36</f>
        <v>-4037437.3899999997</v>
      </c>
      <c r="S30" s="18">
        <f>'Formato 5'!E36</f>
        <v>0</v>
      </c>
      <c r="T30" s="18">
        <f>'Formato 5'!F36</f>
        <v>-4046853.77</v>
      </c>
      <c r="U30" s="18">
        <f>'Formato 5'!G36</f>
        <v>-4046853.77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-26505595.579999998</v>
      </c>
      <c r="R31" s="18">
        <f>'Formato 5'!D37</f>
        <v>-26505595.579999998</v>
      </c>
      <c r="S31" s="18">
        <f>'Formato 5'!E37</f>
        <v>0</v>
      </c>
      <c r="T31" s="18">
        <f>'Formato 5'!F37</f>
        <v>-26504692.34</v>
      </c>
      <c r="U31" s="18">
        <f>'Formato 5'!G37</f>
        <v>-26504692.34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-26505595.579999998</v>
      </c>
      <c r="R33" s="18">
        <f>'Formato 5'!D39</f>
        <v>-26505595.579999998</v>
      </c>
      <c r="S33" s="18">
        <f>'Formato 5'!E39</f>
        <v>0</v>
      </c>
      <c r="T33" s="18">
        <f>'Formato 5'!F39</f>
        <v>-26504692.34</v>
      </c>
      <c r="U33" s="18">
        <f>'Formato 5'!G39</f>
        <v>-26504692.34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-158893481.59999999</v>
      </c>
      <c r="Q34">
        <f>'Formato 5'!C41</f>
        <v>-50536253.449999996</v>
      </c>
      <c r="R34">
        <f>'Formato 5'!D41</f>
        <v>-209429735.05000001</v>
      </c>
      <c r="S34">
        <f>'Formato 5'!E41</f>
        <v>0</v>
      </c>
      <c r="T34">
        <f>'Formato 5'!F41</f>
        <v>-148125821.13999999</v>
      </c>
      <c r="U34">
        <f>'Formato 5'!G41</f>
        <v>10767660.45999999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10767660.45999999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-206763362</v>
      </c>
      <c r="Q37">
        <f>'Formato 5'!C45</f>
        <v>-6783299.3200000003</v>
      </c>
      <c r="R37">
        <f>'Formato 5'!D45</f>
        <v>-213546661.31999999</v>
      </c>
      <c r="S37">
        <f>'Formato 5'!E45</f>
        <v>0</v>
      </c>
      <c r="T37">
        <f>'Formato 5'!F45</f>
        <v>-119294954.37</v>
      </c>
      <c r="U37">
        <f>'Formato 5'!G45</f>
        <v>87468407.629999995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-128875057</v>
      </c>
      <c r="Q40">
        <f>'Formato 5'!C48</f>
        <v>4831663.49</v>
      </c>
      <c r="R40">
        <f>'Formato 5'!D48</f>
        <v>-124043393.50999999</v>
      </c>
      <c r="S40">
        <f>'Formato 5'!E48</f>
        <v>0</v>
      </c>
      <c r="T40">
        <f>'Formato 5'!F48</f>
        <v>-74482523.859999999</v>
      </c>
      <c r="U40">
        <f>'Formato 5'!G48</f>
        <v>54392533.140000001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-77888305</v>
      </c>
      <c r="Q41">
        <f>'Formato 5'!C49</f>
        <v>-11614962.810000001</v>
      </c>
      <c r="R41">
        <f>'Formato 5'!D49</f>
        <v>-89503267.810000002</v>
      </c>
      <c r="S41">
        <f>'Formato 5'!E49</f>
        <v>0</v>
      </c>
      <c r="T41">
        <f>'Formato 5'!F49</f>
        <v>-44812430.509999998</v>
      </c>
      <c r="U41">
        <f>'Formato 5'!G49</f>
        <v>33075874.490000002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-57101128.25</v>
      </c>
      <c r="R46">
        <f>'Formato 5'!D54</f>
        <v>-57101128.25</v>
      </c>
      <c r="S46">
        <f>'Formato 5'!E54</f>
        <v>0</v>
      </c>
      <c r="T46">
        <f>'Formato 5'!F54</f>
        <v>-6924179.8600000003</v>
      </c>
      <c r="U46">
        <f>'Formato 5'!G54</f>
        <v>-6924179.8600000003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-57101128.25</v>
      </c>
      <c r="R50">
        <f>'Formato 5'!D58</f>
        <v>-57101128.25</v>
      </c>
      <c r="S50">
        <f>'Formato 5'!E58</f>
        <v>0</v>
      </c>
      <c r="T50">
        <f>'Formato 5'!F58</f>
        <v>-6924179.8600000003</v>
      </c>
      <c r="U50">
        <f>'Formato 5'!G58</f>
        <v>-6924179.8600000003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-15098479.1</v>
      </c>
      <c r="R55">
        <f>'Formato 5'!D63</f>
        <v>-15098479.1</v>
      </c>
      <c r="S55">
        <f>'Formato 5'!E63</f>
        <v>0</v>
      </c>
      <c r="T55">
        <f>'Formato 5'!F63</f>
        <v>-15021892.27</v>
      </c>
      <c r="U55">
        <f>'Formato 5'!G63</f>
        <v>-15021892.27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-206763362</v>
      </c>
      <c r="Q56">
        <f>'Formato 5'!C65</f>
        <v>-78982906.670000002</v>
      </c>
      <c r="R56">
        <f>'Formato 5'!D65</f>
        <v>-285746268.67000002</v>
      </c>
      <c r="S56">
        <f>'Formato 5'!E65</f>
        <v>0</v>
      </c>
      <c r="T56">
        <f>'Formato 5'!F65</f>
        <v>-141241026.5</v>
      </c>
      <c r="U56">
        <f>'Formato 5'!G65</f>
        <v>65522335.5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>
    <pageSetUpPr fitToPage="1"/>
  </sheetPr>
  <dimension ref="A1:XFC161"/>
  <sheetViews>
    <sheetView view="pageBreakPreview" topLeftCell="A42" zoomScale="60" zoomScaleNormal="100" zoomScalePageLayoutView="90" workbookViewId="0">
      <selection activeCell="B9" sqref="B9:F9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5" t="s">
        <v>3285</v>
      </c>
      <c r="B1" s="184"/>
      <c r="C1" s="184"/>
      <c r="D1" s="184"/>
      <c r="E1" s="184"/>
      <c r="F1" s="184"/>
      <c r="G1" s="184"/>
    </row>
    <row r="2" spans="1:7" ht="14.25" x14ac:dyDescent="0.45">
      <c r="A2" s="188" t="str">
        <f>ENTE_PUBLICO_A</f>
        <v>MUNICIPIO DE SAN FELIPE, Gobierno del Estado de Guanajuato (a)</v>
      </c>
      <c r="B2" s="188"/>
      <c r="C2" s="188"/>
      <c r="D2" s="188"/>
      <c r="E2" s="188"/>
      <c r="F2" s="188"/>
      <c r="G2" s="188"/>
    </row>
    <row r="3" spans="1:7" x14ac:dyDescent="0.25">
      <c r="A3" s="189" t="s">
        <v>277</v>
      </c>
      <c r="B3" s="189"/>
      <c r="C3" s="189"/>
      <c r="D3" s="189"/>
      <c r="E3" s="189"/>
      <c r="F3" s="189"/>
      <c r="G3" s="189"/>
    </row>
    <row r="4" spans="1:7" x14ac:dyDescent="0.25">
      <c r="A4" s="189" t="s">
        <v>278</v>
      </c>
      <c r="B4" s="189"/>
      <c r="C4" s="189"/>
      <c r="D4" s="189"/>
      <c r="E4" s="189"/>
      <c r="F4" s="189"/>
      <c r="G4" s="189"/>
    </row>
    <row r="5" spans="1:7" ht="14.25" x14ac:dyDescent="0.45">
      <c r="A5" s="190" t="str">
        <f>TRIMESTRE</f>
        <v>Del 1 de enero al 30 de junio de 2022 (b)</v>
      </c>
      <c r="B5" s="190"/>
      <c r="C5" s="190"/>
      <c r="D5" s="190"/>
      <c r="E5" s="190"/>
      <c r="F5" s="190"/>
      <c r="G5" s="190"/>
    </row>
    <row r="6" spans="1:7" ht="14.25" x14ac:dyDescent="0.45">
      <c r="A6" s="182" t="s">
        <v>118</v>
      </c>
      <c r="B6" s="182"/>
      <c r="C6" s="182"/>
      <c r="D6" s="182"/>
      <c r="E6" s="182"/>
      <c r="F6" s="182"/>
      <c r="G6" s="182"/>
    </row>
    <row r="7" spans="1:7" ht="15" customHeight="1" x14ac:dyDescent="0.25">
      <c r="A7" s="186" t="s">
        <v>0</v>
      </c>
      <c r="B7" s="186" t="s">
        <v>279</v>
      </c>
      <c r="C7" s="186"/>
      <c r="D7" s="186"/>
      <c r="E7" s="186"/>
      <c r="F7" s="186"/>
      <c r="G7" s="187" t="s">
        <v>280</v>
      </c>
    </row>
    <row r="8" spans="1:7" ht="30" x14ac:dyDescent="0.25">
      <c r="A8" s="18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6"/>
    </row>
    <row r="9" spans="1:7" ht="14.25" x14ac:dyDescent="0.45">
      <c r="A9" s="82" t="s">
        <v>285</v>
      </c>
      <c r="B9" s="79">
        <f>SUM(B10,B18,B28,B38,B48,B58,B62,B71,B75)</f>
        <v>158893481.59999999</v>
      </c>
      <c r="C9" s="79">
        <f t="shared" ref="C9:G9" si="0">SUM(C10,C18,C28,C38,C48,C58,C62,C71,C75)</f>
        <v>50536253.450000003</v>
      </c>
      <c r="D9" s="79">
        <f t="shared" si="0"/>
        <v>209429735.05000001</v>
      </c>
      <c r="E9" s="79">
        <f t="shared" si="0"/>
        <v>120899.39000000001</v>
      </c>
      <c r="F9" s="79">
        <f t="shared" si="0"/>
        <v>71675606.680000007</v>
      </c>
      <c r="G9" s="79">
        <f t="shared" si="0"/>
        <v>209308835.66000003</v>
      </c>
    </row>
    <row r="10" spans="1:7" ht="14.25" x14ac:dyDescent="0.45">
      <c r="A10" s="83" t="s">
        <v>286</v>
      </c>
      <c r="B10" s="80">
        <f>SUM(B11:B17)</f>
        <v>128004457.33</v>
      </c>
      <c r="C10" s="80">
        <f t="shared" ref="C10:F10" si="1">SUM(C11:C17)</f>
        <v>-5.8207660913467407E-11</v>
      </c>
      <c r="D10" s="80">
        <f t="shared" si="1"/>
        <v>128004457.33000001</v>
      </c>
      <c r="E10" s="80">
        <f t="shared" si="1"/>
        <v>0</v>
      </c>
      <c r="F10" s="80">
        <f t="shared" si="1"/>
        <v>52829342.719999999</v>
      </c>
      <c r="G10" s="80">
        <f>SUM(G11:G17)</f>
        <v>128004457.33000001</v>
      </c>
    </row>
    <row r="11" spans="1:7" x14ac:dyDescent="0.25">
      <c r="A11" s="84" t="s">
        <v>287</v>
      </c>
      <c r="B11" s="80">
        <v>75082487.040000007</v>
      </c>
      <c r="C11" s="80">
        <v>-746850.42</v>
      </c>
      <c r="D11" s="80">
        <v>74335636.620000005</v>
      </c>
      <c r="E11" s="80">
        <v>0</v>
      </c>
      <c r="F11" s="80">
        <v>36172331.479999997</v>
      </c>
      <c r="G11" s="80">
        <f>D11-E11</f>
        <v>74335636.620000005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11017474.140000001</v>
      </c>
      <c r="C13" s="80">
        <v>0</v>
      </c>
      <c r="D13" s="80">
        <v>11017474.140000001</v>
      </c>
      <c r="E13" s="80">
        <v>0</v>
      </c>
      <c r="F13" s="80">
        <v>891839.19</v>
      </c>
      <c r="G13" s="80">
        <f t="shared" ref="G13:G17" si="2">D13-E13</f>
        <v>11017474.140000001</v>
      </c>
    </row>
    <row r="14" spans="1:7" x14ac:dyDescent="0.25">
      <c r="A14" s="84" t="s">
        <v>290</v>
      </c>
      <c r="B14" s="80">
        <v>25566338.350000001</v>
      </c>
      <c r="C14" s="80">
        <v>0</v>
      </c>
      <c r="D14" s="80">
        <v>25566338.350000001</v>
      </c>
      <c r="E14" s="80">
        <v>0</v>
      </c>
      <c r="F14" s="80">
        <v>6994853.7699999996</v>
      </c>
      <c r="G14" s="80">
        <f t="shared" si="2"/>
        <v>25566338.350000001</v>
      </c>
    </row>
    <row r="15" spans="1:7" x14ac:dyDescent="0.25">
      <c r="A15" s="84" t="s">
        <v>291</v>
      </c>
      <c r="B15" s="80">
        <v>12885277.560000001</v>
      </c>
      <c r="C15" s="80">
        <v>788109.11</v>
      </c>
      <c r="D15" s="80">
        <v>13673386.67</v>
      </c>
      <c r="E15" s="80">
        <v>0</v>
      </c>
      <c r="F15" s="80">
        <v>7117383.4000000004</v>
      </c>
      <c r="G15" s="80">
        <f t="shared" si="2"/>
        <v>13673386.67</v>
      </c>
    </row>
    <row r="16" spans="1:7" ht="14.25" x14ac:dyDescent="0.45">
      <c r="A16" s="84" t="s">
        <v>292</v>
      </c>
      <c r="B16" s="80"/>
      <c r="C16" s="80"/>
      <c r="D16" s="80"/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>
        <v>3452880.24</v>
      </c>
      <c r="C17" s="80">
        <v>-41258.69</v>
      </c>
      <c r="D17" s="80">
        <v>3411621.55</v>
      </c>
      <c r="E17" s="80">
        <v>0</v>
      </c>
      <c r="F17" s="80">
        <v>1652934.88</v>
      </c>
      <c r="G17" s="80">
        <f t="shared" si="2"/>
        <v>3411621.55</v>
      </c>
    </row>
    <row r="18" spans="1:7" ht="14.25" x14ac:dyDescent="0.45">
      <c r="A18" s="83" t="s">
        <v>294</v>
      </c>
      <c r="B18" s="80">
        <f>SUM(B19:B27)</f>
        <v>6020000.8899999997</v>
      </c>
      <c r="C18" s="80">
        <f t="shared" ref="C18:F18" si="3">SUM(C19:C27)</f>
        <v>2228244.94</v>
      </c>
      <c r="D18" s="80">
        <f t="shared" si="3"/>
        <v>8248245.8300000001</v>
      </c>
      <c r="E18" s="80">
        <f t="shared" si="3"/>
        <v>58246.990000000005</v>
      </c>
      <c r="F18" s="80">
        <f t="shared" si="3"/>
        <v>2302796.6799999997</v>
      </c>
      <c r="G18" s="80">
        <f>SUM(G19:G27)</f>
        <v>8189998.8400000008</v>
      </c>
    </row>
    <row r="19" spans="1:7" x14ac:dyDescent="0.25">
      <c r="A19" s="84" t="s">
        <v>295</v>
      </c>
      <c r="B19" s="80">
        <v>1831817.51</v>
      </c>
      <c r="C19" s="80">
        <v>-126600</v>
      </c>
      <c r="D19" s="80">
        <v>1705217.51</v>
      </c>
      <c r="E19" s="80">
        <v>42303.38</v>
      </c>
      <c r="F19" s="80">
        <v>247311.15</v>
      </c>
      <c r="G19" s="80">
        <f>D19-E19</f>
        <v>1662914.1300000001</v>
      </c>
    </row>
    <row r="20" spans="1:7" x14ac:dyDescent="0.25">
      <c r="A20" s="84" t="s">
        <v>296</v>
      </c>
      <c r="B20" s="80">
        <v>344877.51</v>
      </c>
      <c r="C20" s="80">
        <v>-440</v>
      </c>
      <c r="D20" s="80">
        <v>344437.51</v>
      </c>
      <c r="E20" s="80">
        <v>11690.95</v>
      </c>
      <c r="F20" s="80">
        <v>62070.57</v>
      </c>
      <c r="G20" s="80">
        <f t="shared" ref="G20:G27" si="4">D20-E20</f>
        <v>332746.56</v>
      </c>
    </row>
    <row r="21" spans="1:7" x14ac:dyDescent="0.25">
      <c r="A21" s="84" t="s">
        <v>297</v>
      </c>
      <c r="B21" s="80">
        <v>121000</v>
      </c>
      <c r="C21" s="80">
        <v>0</v>
      </c>
      <c r="D21" s="80">
        <v>121000</v>
      </c>
      <c r="E21" s="80">
        <v>0</v>
      </c>
      <c r="F21" s="80">
        <v>0</v>
      </c>
      <c r="G21" s="80">
        <f t="shared" si="4"/>
        <v>121000</v>
      </c>
    </row>
    <row r="22" spans="1:7" x14ac:dyDescent="0.25">
      <c r="A22" s="84" t="s">
        <v>298</v>
      </c>
      <c r="B22" s="80">
        <v>836522.49</v>
      </c>
      <c r="C22" s="80">
        <v>2311794.94</v>
      </c>
      <c r="D22" s="80">
        <v>3148317.43</v>
      </c>
      <c r="E22" s="80">
        <v>0</v>
      </c>
      <c r="F22" s="80">
        <v>925224.81</v>
      </c>
      <c r="G22" s="80">
        <f t="shared" si="4"/>
        <v>3148317.43</v>
      </c>
    </row>
    <row r="23" spans="1:7" x14ac:dyDescent="0.25">
      <c r="A23" s="84" t="s">
        <v>299</v>
      </c>
      <c r="B23" s="80">
        <v>551186.99</v>
      </c>
      <c r="C23" s="80">
        <v>-4000</v>
      </c>
      <c r="D23" s="80">
        <v>547186.99</v>
      </c>
      <c r="E23" s="80">
        <v>0</v>
      </c>
      <c r="F23" s="80">
        <v>16400</v>
      </c>
      <c r="G23" s="80">
        <f t="shared" si="4"/>
        <v>547186.99</v>
      </c>
    </row>
    <row r="24" spans="1:7" x14ac:dyDescent="0.25">
      <c r="A24" s="84" t="s">
        <v>300</v>
      </c>
      <c r="B24" s="80">
        <v>1762529.53</v>
      </c>
      <c r="C24" s="80">
        <v>-4555</v>
      </c>
      <c r="D24" s="80">
        <v>1757974.53</v>
      </c>
      <c r="E24" s="80">
        <v>0</v>
      </c>
      <c r="F24" s="80">
        <v>929756.94</v>
      </c>
      <c r="G24" s="80">
        <f t="shared" si="4"/>
        <v>1757974.53</v>
      </c>
    </row>
    <row r="25" spans="1:7" x14ac:dyDescent="0.25">
      <c r="A25" s="84" t="s">
        <v>301</v>
      </c>
      <c r="B25" s="80">
        <v>131845.39000000001</v>
      </c>
      <c r="C25" s="80">
        <v>11500</v>
      </c>
      <c r="D25" s="80">
        <v>143345.39000000001</v>
      </c>
      <c r="E25" s="80">
        <v>0</v>
      </c>
      <c r="F25" s="80">
        <v>38295.21</v>
      </c>
      <c r="G25" s="80">
        <f t="shared" si="4"/>
        <v>143345.39000000001</v>
      </c>
    </row>
    <row r="26" spans="1:7" ht="14.25" x14ac:dyDescent="0.45">
      <c r="A26" s="84" t="s">
        <v>302</v>
      </c>
      <c r="B26" s="80"/>
      <c r="C26" s="80"/>
      <c r="D26" s="80"/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440221.47</v>
      </c>
      <c r="C27" s="80">
        <v>40545</v>
      </c>
      <c r="D27" s="80">
        <v>480766.47</v>
      </c>
      <c r="E27" s="80">
        <v>4252.66</v>
      </c>
      <c r="F27" s="80">
        <v>83738</v>
      </c>
      <c r="G27" s="80">
        <f t="shared" si="4"/>
        <v>476513.81</v>
      </c>
    </row>
    <row r="28" spans="1:7" ht="14.25" x14ac:dyDescent="0.45">
      <c r="A28" s="83" t="s">
        <v>304</v>
      </c>
      <c r="B28" s="80">
        <f>SUM(B29:B37)</f>
        <v>12287398.18</v>
      </c>
      <c r="C28" s="80">
        <f t="shared" ref="C28:G28" si="5">SUM(C29:C37)</f>
        <v>12425422.020000001</v>
      </c>
      <c r="D28" s="80">
        <f t="shared" si="5"/>
        <v>24712820.200000003</v>
      </c>
      <c r="E28" s="80">
        <f t="shared" si="5"/>
        <v>14023</v>
      </c>
      <c r="F28" s="80">
        <f t="shared" si="5"/>
        <v>4014412.1000000006</v>
      </c>
      <c r="G28" s="80">
        <f t="shared" si="5"/>
        <v>24698797.200000003</v>
      </c>
    </row>
    <row r="29" spans="1:7" x14ac:dyDescent="0.25">
      <c r="A29" s="84" t="s">
        <v>305</v>
      </c>
      <c r="B29" s="80">
        <v>224710</v>
      </c>
      <c r="C29" s="80">
        <v>0</v>
      </c>
      <c r="D29" s="80">
        <v>224710</v>
      </c>
      <c r="E29" s="80">
        <v>0</v>
      </c>
      <c r="F29" s="80">
        <v>76053.570000000007</v>
      </c>
      <c r="G29" s="80">
        <f>D29-E29</f>
        <v>224710</v>
      </c>
    </row>
    <row r="30" spans="1:7" x14ac:dyDescent="0.25">
      <c r="A30" s="84" t="s">
        <v>306</v>
      </c>
      <c r="B30" s="80">
        <v>1530580.18</v>
      </c>
      <c r="C30" s="80">
        <v>549011.06999999995</v>
      </c>
      <c r="D30" s="80">
        <v>2079591.25</v>
      </c>
      <c r="E30" s="80">
        <v>5903</v>
      </c>
      <c r="F30" s="80">
        <v>860629.77</v>
      </c>
      <c r="G30" s="80">
        <f t="shared" ref="G30:G37" si="6">D30-E30</f>
        <v>2073688.25</v>
      </c>
    </row>
    <row r="31" spans="1:7" x14ac:dyDescent="0.25">
      <c r="A31" s="84" t="s">
        <v>307</v>
      </c>
      <c r="B31" s="80">
        <v>4570498.51</v>
      </c>
      <c r="C31" s="80">
        <v>1268712</v>
      </c>
      <c r="D31" s="80">
        <v>5839210.5099999998</v>
      </c>
      <c r="E31" s="80">
        <v>8120</v>
      </c>
      <c r="F31" s="80">
        <v>811721.54</v>
      </c>
      <c r="G31" s="80">
        <f t="shared" si="6"/>
        <v>5831090.5099999998</v>
      </c>
    </row>
    <row r="32" spans="1:7" x14ac:dyDescent="0.25">
      <c r="A32" s="84" t="s">
        <v>308</v>
      </c>
      <c r="B32" s="80">
        <v>556100</v>
      </c>
      <c r="C32" s="80">
        <v>8000</v>
      </c>
      <c r="D32" s="80">
        <v>564100</v>
      </c>
      <c r="E32" s="80">
        <v>0</v>
      </c>
      <c r="F32" s="80">
        <v>45540.4</v>
      </c>
      <c r="G32" s="80">
        <f t="shared" si="6"/>
        <v>564100</v>
      </c>
    </row>
    <row r="33" spans="1:7" x14ac:dyDescent="0.25">
      <c r="A33" s="84" t="s">
        <v>309</v>
      </c>
      <c r="B33" s="80">
        <v>305138.06</v>
      </c>
      <c r="C33" s="80">
        <v>29500</v>
      </c>
      <c r="D33" s="80">
        <v>334638.06</v>
      </c>
      <c r="E33" s="80">
        <v>0</v>
      </c>
      <c r="F33" s="80">
        <v>38418.33</v>
      </c>
      <c r="G33" s="80">
        <f t="shared" si="6"/>
        <v>334638.06</v>
      </c>
    </row>
    <row r="34" spans="1:7" x14ac:dyDescent="0.25">
      <c r="A34" s="84" t="s">
        <v>310</v>
      </c>
      <c r="B34" s="80">
        <v>422836.99</v>
      </c>
      <c r="C34" s="80">
        <v>73000</v>
      </c>
      <c r="D34" s="80">
        <v>495836.99</v>
      </c>
      <c r="E34" s="80">
        <v>0</v>
      </c>
      <c r="F34" s="80">
        <v>99532.36</v>
      </c>
      <c r="G34" s="80">
        <f t="shared" si="6"/>
        <v>495836.99</v>
      </c>
    </row>
    <row r="35" spans="1:7" x14ac:dyDescent="0.25">
      <c r="A35" s="84" t="s">
        <v>311</v>
      </c>
      <c r="B35" s="80">
        <v>164243.32</v>
      </c>
      <c r="C35" s="80">
        <v>148</v>
      </c>
      <c r="D35" s="80">
        <v>164391.32</v>
      </c>
      <c r="E35" s="80">
        <v>0</v>
      </c>
      <c r="F35" s="80">
        <v>22309.68</v>
      </c>
      <c r="G35" s="80">
        <f t="shared" si="6"/>
        <v>164391.32</v>
      </c>
    </row>
    <row r="36" spans="1:7" x14ac:dyDescent="0.25">
      <c r="A36" s="84" t="s">
        <v>312</v>
      </c>
      <c r="B36" s="80">
        <v>659448.99</v>
      </c>
      <c r="C36" s="80">
        <v>1596847.08</v>
      </c>
      <c r="D36" s="80">
        <v>2256296.0699999998</v>
      </c>
      <c r="E36" s="80">
        <v>0</v>
      </c>
      <c r="F36" s="80">
        <v>746408.36</v>
      </c>
      <c r="G36" s="80">
        <f t="shared" si="6"/>
        <v>2256296.0699999998</v>
      </c>
    </row>
    <row r="37" spans="1:7" x14ac:dyDescent="0.25">
      <c r="A37" s="84" t="s">
        <v>313</v>
      </c>
      <c r="B37" s="80">
        <v>3853842.13</v>
      </c>
      <c r="C37" s="80">
        <v>8900203.870000001</v>
      </c>
      <c r="D37" s="80">
        <v>12754046</v>
      </c>
      <c r="E37" s="80">
        <v>0</v>
      </c>
      <c r="F37" s="80">
        <v>1313798.0900000001</v>
      </c>
      <c r="G37" s="80">
        <f t="shared" si="6"/>
        <v>12754046</v>
      </c>
    </row>
    <row r="38" spans="1:7" x14ac:dyDescent="0.25">
      <c r="A38" s="83" t="s">
        <v>314</v>
      </c>
      <c r="B38" s="80">
        <f>SUM(B39:B47)</f>
        <v>12581625.200000001</v>
      </c>
      <c r="C38" s="80">
        <f t="shared" ref="C38:G38" si="7">SUM(C39:C47)</f>
        <v>9092918.5999999996</v>
      </c>
      <c r="D38" s="80">
        <f t="shared" si="7"/>
        <v>21674543.800000001</v>
      </c>
      <c r="E38" s="80">
        <f t="shared" si="7"/>
        <v>48629.4</v>
      </c>
      <c r="F38" s="80">
        <f t="shared" si="7"/>
        <v>5962788.46</v>
      </c>
      <c r="G38" s="80">
        <f t="shared" si="7"/>
        <v>21625914.399999999</v>
      </c>
    </row>
    <row r="39" spans="1:7" x14ac:dyDescent="0.25">
      <c r="A39" s="84" t="s">
        <v>315</v>
      </c>
      <c r="B39" s="80"/>
      <c r="C39" s="80"/>
      <c r="D39" s="80"/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/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>
        <v>100000</v>
      </c>
      <c r="C41" s="80">
        <v>3420000</v>
      </c>
      <c r="D41" s="80">
        <v>3520000</v>
      </c>
      <c r="E41" s="80">
        <v>0</v>
      </c>
      <c r="F41" s="80">
        <v>0</v>
      </c>
      <c r="G41" s="80">
        <f t="shared" si="8"/>
        <v>3520000</v>
      </c>
    </row>
    <row r="42" spans="1:7" x14ac:dyDescent="0.25">
      <c r="A42" s="84" t="s">
        <v>318</v>
      </c>
      <c r="B42" s="80">
        <v>3191366.64</v>
      </c>
      <c r="C42" s="80">
        <v>3200000</v>
      </c>
      <c r="D42" s="80">
        <v>6391366.6399999997</v>
      </c>
      <c r="E42" s="80">
        <v>48629.4</v>
      </c>
      <c r="F42" s="80">
        <v>1880374.7</v>
      </c>
      <c r="G42" s="80">
        <f t="shared" si="8"/>
        <v>6342737.2399999993</v>
      </c>
    </row>
    <row r="43" spans="1:7" x14ac:dyDescent="0.25">
      <c r="A43" s="84" t="s">
        <v>319</v>
      </c>
      <c r="B43" s="80">
        <v>8562838.5600000005</v>
      </c>
      <c r="C43" s="80">
        <v>2272918.5999999996</v>
      </c>
      <c r="D43" s="80">
        <v>10835757.16</v>
      </c>
      <c r="E43" s="80">
        <v>0</v>
      </c>
      <c r="F43" s="80">
        <v>3794293.89</v>
      </c>
      <c r="G43" s="80">
        <f t="shared" si="8"/>
        <v>10835757.16</v>
      </c>
    </row>
    <row r="44" spans="1:7" x14ac:dyDescent="0.25">
      <c r="A44" s="84" t="s">
        <v>320</v>
      </c>
      <c r="B44" s="80"/>
      <c r="C44" s="80"/>
      <c r="D44" s="80"/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/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727420</v>
      </c>
      <c r="C46" s="80">
        <v>200000</v>
      </c>
      <c r="D46" s="80">
        <v>927420</v>
      </c>
      <c r="E46" s="80">
        <v>0</v>
      </c>
      <c r="F46" s="80">
        <v>288119.87</v>
      </c>
      <c r="G46" s="80">
        <f t="shared" si="8"/>
        <v>927420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0</v>
      </c>
      <c r="C48" s="80">
        <f t="shared" ref="C48:G48" si="9">SUM(C49:C57)</f>
        <v>1342730</v>
      </c>
      <c r="D48" s="80">
        <f t="shared" si="9"/>
        <v>1342730</v>
      </c>
      <c r="E48" s="80">
        <f t="shared" si="9"/>
        <v>0</v>
      </c>
      <c r="F48" s="80">
        <f t="shared" si="9"/>
        <v>34315</v>
      </c>
      <c r="G48" s="80">
        <f t="shared" si="9"/>
        <v>1342730</v>
      </c>
    </row>
    <row r="49" spans="1:7" x14ac:dyDescent="0.25">
      <c r="A49" s="84" t="s">
        <v>325</v>
      </c>
      <c r="B49" s="80">
        <v>0</v>
      </c>
      <c r="C49" s="80">
        <v>172730</v>
      </c>
      <c r="D49" s="80">
        <v>172730</v>
      </c>
      <c r="E49" s="80">
        <v>0</v>
      </c>
      <c r="F49" s="80">
        <v>34315</v>
      </c>
      <c r="G49" s="80">
        <f>D49-E49</f>
        <v>172730</v>
      </c>
    </row>
    <row r="50" spans="1:7" x14ac:dyDescent="0.25">
      <c r="A50" s="84" t="s">
        <v>326</v>
      </c>
      <c r="B50" s="80"/>
      <c r="C50" s="80"/>
      <c r="D50" s="80"/>
      <c r="E50" s="80"/>
      <c r="F50" s="80"/>
      <c r="G50" s="80">
        <f t="shared" ref="G50:G57" si="10">D50-E50</f>
        <v>0</v>
      </c>
    </row>
    <row r="51" spans="1:7" x14ac:dyDescent="0.25">
      <c r="A51" s="84" t="s">
        <v>327</v>
      </c>
      <c r="B51" s="80"/>
      <c r="C51" s="80"/>
      <c r="D51" s="80"/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0</v>
      </c>
      <c r="C52" s="80">
        <v>1050000</v>
      </c>
      <c r="D52" s="80">
        <v>1050000</v>
      </c>
      <c r="E52" s="80">
        <v>0</v>
      </c>
      <c r="F52" s="80">
        <v>0</v>
      </c>
      <c r="G52" s="80">
        <f t="shared" si="10"/>
        <v>1050000</v>
      </c>
    </row>
    <row r="53" spans="1:7" x14ac:dyDescent="0.25">
      <c r="A53" s="84" t="s">
        <v>329</v>
      </c>
      <c r="B53" s="80"/>
      <c r="C53" s="80"/>
      <c r="D53" s="80"/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0</v>
      </c>
      <c r="C54" s="80">
        <v>20000</v>
      </c>
      <c r="D54" s="80">
        <v>20000</v>
      </c>
      <c r="E54" s="80">
        <v>0</v>
      </c>
      <c r="F54" s="80">
        <v>0</v>
      </c>
      <c r="G54" s="80">
        <f t="shared" si="10"/>
        <v>20000</v>
      </c>
    </row>
    <row r="55" spans="1:7" x14ac:dyDescent="0.25">
      <c r="A55" s="84" t="s">
        <v>331</v>
      </c>
      <c r="B55" s="80"/>
      <c r="C55" s="80"/>
      <c r="D55" s="80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>
        <v>0</v>
      </c>
      <c r="C56" s="80">
        <v>100000</v>
      </c>
      <c r="D56" s="80">
        <v>100000</v>
      </c>
      <c r="E56" s="80">
        <v>0</v>
      </c>
      <c r="F56" s="80">
        <v>0</v>
      </c>
      <c r="G56" s="80">
        <f t="shared" si="10"/>
        <v>100000</v>
      </c>
    </row>
    <row r="57" spans="1:7" x14ac:dyDescent="0.25">
      <c r="A57" s="84" t="s">
        <v>333</v>
      </c>
      <c r="B57" s="80"/>
      <c r="C57" s="80"/>
      <c r="D57" s="80"/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11">SUM(C59:C61)</f>
        <v>16707975.890000001</v>
      </c>
      <c r="D58" s="80">
        <f t="shared" si="11"/>
        <v>16707975.890000001</v>
      </c>
      <c r="E58" s="80">
        <f t="shared" si="11"/>
        <v>0</v>
      </c>
      <c r="F58" s="80">
        <f t="shared" si="11"/>
        <v>6531951.7199999997</v>
      </c>
      <c r="G58" s="80">
        <f t="shared" si="11"/>
        <v>16707975.890000001</v>
      </c>
    </row>
    <row r="59" spans="1:7" x14ac:dyDescent="0.25">
      <c r="A59" s="84" t="s">
        <v>335</v>
      </c>
      <c r="B59" s="80">
        <v>0</v>
      </c>
      <c r="C59" s="80">
        <v>16707975.890000001</v>
      </c>
      <c r="D59" s="80">
        <v>16707975.890000001</v>
      </c>
      <c r="E59" s="80">
        <v>0</v>
      </c>
      <c r="F59" s="80">
        <v>6531951.7199999997</v>
      </c>
      <c r="G59" s="80">
        <f>D59-E59</f>
        <v>16707975.890000001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8738962</v>
      </c>
      <c r="D62" s="80">
        <f t="shared" si="13"/>
        <v>8738962</v>
      </c>
      <c r="E62" s="80">
        <f t="shared" si="13"/>
        <v>0</v>
      </c>
      <c r="F62" s="80">
        <f t="shared" si="13"/>
        <v>0</v>
      </c>
      <c r="G62" s="80">
        <f t="shared" si="13"/>
        <v>8738962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8738962</v>
      </c>
      <c r="D70" s="80">
        <v>8738962</v>
      </c>
      <c r="E70" s="80">
        <v>0</v>
      </c>
      <c r="F70" s="80">
        <v>0</v>
      </c>
      <c r="G70" s="80">
        <f t="shared" si="14"/>
        <v>8738962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/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/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206763362</v>
      </c>
      <c r="C84" s="79">
        <f t="shared" ref="C84:G84" si="19">SUM(C85,C93,C103,C113,C123,C133,C137,C146,C150)</f>
        <v>78982906.670000002</v>
      </c>
      <c r="D84" s="79">
        <f t="shared" si="19"/>
        <v>285746268.66999996</v>
      </c>
      <c r="E84" s="79">
        <f t="shared" si="19"/>
        <v>93066.8</v>
      </c>
      <c r="F84" s="79">
        <f t="shared" si="19"/>
        <v>86805099.140000001</v>
      </c>
      <c r="G84" s="79">
        <f t="shared" si="19"/>
        <v>285653201.87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24155836.349999998</v>
      </c>
      <c r="C93" s="80">
        <f t="shared" ref="C93:G93" si="22">SUM(C94:C102)</f>
        <v>661128.04</v>
      </c>
      <c r="D93" s="80">
        <f t="shared" si="22"/>
        <v>24816964.390000001</v>
      </c>
      <c r="E93" s="80">
        <f t="shared" si="22"/>
        <v>93066.8</v>
      </c>
      <c r="F93" s="80">
        <f t="shared" si="22"/>
        <v>10723422.640000001</v>
      </c>
      <c r="G93" s="80">
        <f t="shared" si="22"/>
        <v>24723897.59</v>
      </c>
    </row>
    <row r="94" spans="1:7" x14ac:dyDescent="0.25">
      <c r="A94" s="84" t="s">
        <v>295</v>
      </c>
      <c r="B94" s="80">
        <v>1311188.96</v>
      </c>
      <c r="C94" s="80">
        <v>-28683.53</v>
      </c>
      <c r="D94" s="80">
        <v>1282505.43</v>
      </c>
      <c r="E94" s="80">
        <v>93066.8</v>
      </c>
      <c r="F94" s="80">
        <v>496934.65</v>
      </c>
      <c r="G94" s="80">
        <f>D94-E94</f>
        <v>1189438.6299999999</v>
      </c>
    </row>
    <row r="95" spans="1:7" x14ac:dyDescent="0.25">
      <c r="A95" s="84" t="s">
        <v>296</v>
      </c>
      <c r="B95" s="80">
        <v>686472.13</v>
      </c>
      <c r="C95" s="80">
        <v>-15750</v>
      </c>
      <c r="D95" s="80">
        <v>670722.13</v>
      </c>
      <c r="E95" s="80">
        <v>0</v>
      </c>
      <c r="F95" s="80">
        <v>197224.08</v>
      </c>
      <c r="G95" s="80">
        <f t="shared" ref="G95:G102" si="23">D95-E95</f>
        <v>670722.13</v>
      </c>
    </row>
    <row r="96" spans="1:7" x14ac:dyDescent="0.25">
      <c r="A96" s="84" t="s">
        <v>297</v>
      </c>
      <c r="B96" s="80">
        <v>25000</v>
      </c>
      <c r="C96" s="80">
        <v>-5000</v>
      </c>
      <c r="D96" s="80">
        <v>20000</v>
      </c>
      <c r="E96" s="80">
        <v>0</v>
      </c>
      <c r="F96" s="80">
        <v>0</v>
      </c>
      <c r="G96" s="80">
        <f t="shared" si="23"/>
        <v>20000</v>
      </c>
    </row>
    <row r="97" spans="1:7" x14ac:dyDescent="0.25">
      <c r="A97" s="84" t="s">
        <v>298</v>
      </c>
      <c r="B97" s="80">
        <v>2844897.9</v>
      </c>
      <c r="C97" s="80">
        <v>559958.9</v>
      </c>
      <c r="D97" s="80">
        <v>3404856.8</v>
      </c>
      <c r="E97" s="80">
        <v>0</v>
      </c>
      <c r="F97" s="80">
        <v>675613.03</v>
      </c>
      <c r="G97" s="80">
        <f t="shared" si="23"/>
        <v>3404856.8</v>
      </c>
    </row>
    <row r="98" spans="1:7" x14ac:dyDescent="0.25">
      <c r="A98" s="42" t="s">
        <v>299</v>
      </c>
      <c r="B98" s="80">
        <v>282033.75</v>
      </c>
      <c r="C98" s="80">
        <v>-14000</v>
      </c>
      <c r="D98" s="80">
        <v>268033.75</v>
      </c>
      <c r="E98" s="80">
        <v>0</v>
      </c>
      <c r="F98" s="80">
        <v>46469.69</v>
      </c>
      <c r="G98" s="80">
        <f t="shared" si="23"/>
        <v>268033.75</v>
      </c>
    </row>
    <row r="99" spans="1:7" x14ac:dyDescent="0.25">
      <c r="A99" s="84" t="s">
        <v>300</v>
      </c>
      <c r="B99" s="80">
        <v>13147049.59</v>
      </c>
      <c r="C99" s="80">
        <v>61799.66</v>
      </c>
      <c r="D99" s="80">
        <v>13208849.25</v>
      </c>
      <c r="E99" s="80">
        <v>0</v>
      </c>
      <c r="F99" s="80">
        <v>7133248.4100000001</v>
      </c>
      <c r="G99" s="80">
        <f t="shared" si="23"/>
        <v>13208849.25</v>
      </c>
    </row>
    <row r="100" spans="1:7" x14ac:dyDescent="0.25">
      <c r="A100" s="84" t="s">
        <v>301</v>
      </c>
      <c r="B100" s="80">
        <v>2554350</v>
      </c>
      <c r="C100" s="80">
        <v>62000</v>
      </c>
      <c r="D100" s="80">
        <v>2616350</v>
      </c>
      <c r="E100" s="80">
        <v>0</v>
      </c>
      <c r="F100" s="80">
        <v>185870.16</v>
      </c>
      <c r="G100" s="80">
        <f t="shared" si="23"/>
        <v>2616350</v>
      </c>
    </row>
    <row r="101" spans="1:7" x14ac:dyDescent="0.25">
      <c r="A101" s="84" t="s">
        <v>302</v>
      </c>
      <c r="B101" s="80">
        <v>20000</v>
      </c>
      <c r="C101" s="80">
        <v>0</v>
      </c>
      <c r="D101" s="80">
        <v>20000</v>
      </c>
      <c r="E101" s="80">
        <v>0</v>
      </c>
      <c r="F101" s="80">
        <v>0</v>
      </c>
      <c r="G101" s="80">
        <f t="shared" si="23"/>
        <v>20000</v>
      </c>
    </row>
    <row r="102" spans="1:7" x14ac:dyDescent="0.25">
      <c r="A102" s="84" t="s">
        <v>303</v>
      </c>
      <c r="B102" s="80">
        <v>3284844.02</v>
      </c>
      <c r="C102" s="80">
        <v>40803.009999999995</v>
      </c>
      <c r="D102" s="80">
        <v>3325647.03</v>
      </c>
      <c r="E102" s="80">
        <v>0</v>
      </c>
      <c r="F102" s="80">
        <v>1988062.62</v>
      </c>
      <c r="G102" s="80">
        <f t="shared" si="23"/>
        <v>3325647.03</v>
      </c>
    </row>
    <row r="103" spans="1:7" x14ac:dyDescent="0.25">
      <c r="A103" s="83" t="s">
        <v>304</v>
      </c>
      <c r="B103" s="80">
        <f>SUM(B104:B112)</f>
        <v>25328615.640000001</v>
      </c>
      <c r="C103" s="80">
        <f>SUM(C104:C112)</f>
        <v>1971580.1400000006</v>
      </c>
      <c r="D103" s="80">
        <f t="shared" ref="D103:G103" si="24">SUM(D104:D112)</f>
        <v>27300195.780000001</v>
      </c>
      <c r="E103" s="80">
        <f t="shared" si="24"/>
        <v>0</v>
      </c>
      <c r="F103" s="80">
        <f t="shared" si="24"/>
        <v>11780068.15</v>
      </c>
      <c r="G103" s="80">
        <f t="shared" si="24"/>
        <v>27300195.780000001</v>
      </c>
    </row>
    <row r="104" spans="1:7" x14ac:dyDescent="0.25">
      <c r="A104" s="84" t="s">
        <v>305</v>
      </c>
      <c r="B104" s="80">
        <v>15105630.689999999</v>
      </c>
      <c r="C104" s="80">
        <v>-855200</v>
      </c>
      <c r="D104" s="80">
        <v>14250430.689999999</v>
      </c>
      <c r="E104" s="80">
        <v>0</v>
      </c>
      <c r="F104" s="80">
        <v>6684034.0300000003</v>
      </c>
      <c r="G104" s="80">
        <f>D104-E104</f>
        <v>14250430.689999999</v>
      </c>
    </row>
    <row r="105" spans="1:7" x14ac:dyDescent="0.25">
      <c r="A105" s="84" t="s">
        <v>306</v>
      </c>
      <c r="B105" s="80">
        <v>543843.24</v>
      </c>
      <c r="C105" s="80">
        <v>30301</v>
      </c>
      <c r="D105" s="80">
        <v>574144.24</v>
      </c>
      <c r="E105" s="80">
        <v>0</v>
      </c>
      <c r="F105" s="80">
        <v>229045.68</v>
      </c>
      <c r="G105" s="80">
        <f t="shared" ref="G105:G112" si="25">D105-E105</f>
        <v>574144.24</v>
      </c>
    </row>
    <row r="106" spans="1:7" x14ac:dyDescent="0.25">
      <c r="A106" s="84" t="s">
        <v>307</v>
      </c>
      <c r="B106" s="80">
        <v>5264571.3</v>
      </c>
      <c r="C106" s="80">
        <v>2242188.5400000005</v>
      </c>
      <c r="D106" s="80">
        <v>7506759.8399999999</v>
      </c>
      <c r="E106" s="80">
        <v>0</v>
      </c>
      <c r="F106" s="80">
        <v>2333879.75</v>
      </c>
      <c r="G106" s="80">
        <f t="shared" si="25"/>
        <v>7506759.8399999999</v>
      </c>
    </row>
    <row r="107" spans="1:7" x14ac:dyDescent="0.25">
      <c r="A107" s="84" t="s">
        <v>308</v>
      </c>
      <c r="B107" s="80">
        <v>2020000</v>
      </c>
      <c r="C107" s="80">
        <v>360000</v>
      </c>
      <c r="D107" s="80">
        <v>2380000</v>
      </c>
      <c r="E107" s="80">
        <v>0</v>
      </c>
      <c r="F107" s="80">
        <v>1522325.41</v>
      </c>
      <c r="G107" s="80">
        <f t="shared" si="25"/>
        <v>2380000</v>
      </c>
    </row>
    <row r="108" spans="1:7" x14ac:dyDescent="0.25">
      <c r="A108" s="84" t="s">
        <v>309</v>
      </c>
      <c r="B108" s="80">
        <v>1908347.72</v>
      </c>
      <c r="C108" s="80">
        <v>116700</v>
      </c>
      <c r="D108" s="80">
        <v>2025047.72</v>
      </c>
      <c r="E108" s="80">
        <v>0</v>
      </c>
      <c r="F108" s="80">
        <v>859778.04</v>
      </c>
      <c r="G108" s="80">
        <f t="shared" si="25"/>
        <v>2025047.72</v>
      </c>
    </row>
    <row r="109" spans="1:7" x14ac:dyDescent="0.25">
      <c r="A109" s="84" t="s">
        <v>310</v>
      </c>
      <c r="B109" s="80">
        <v>61300</v>
      </c>
      <c r="C109" s="80">
        <v>15000</v>
      </c>
      <c r="D109" s="80">
        <v>76300</v>
      </c>
      <c r="E109" s="80">
        <v>0</v>
      </c>
      <c r="F109" s="80">
        <v>5500</v>
      </c>
      <c r="G109" s="80">
        <f t="shared" si="25"/>
        <v>76300</v>
      </c>
    </row>
    <row r="110" spans="1:7" x14ac:dyDescent="0.25">
      <c r="A110" s="84" t="s">
        <v>311</v>
      </c>
      <c r="B110" s="80">
        <v>86003.03</v>
      </c>
      <c r="C110" s="80">
        <v>-6700</v>
      </c>
      <c r="D110" s="80">
        <v>79303.03</v>
      </c>
      <c r="E110" s="80">
        <v>0</v>
      </c>
      <c r="F110" s="80">
        <v>3659</v>
      </c>
      <c r="G110" s="80">
        <f t="shared" si="25"/>
        <v>79303.03</v>
      </c>
    </row>
    <row r="111" spans="1:7" x14ac:dyDescent="0.25">
      <c r="A111" s="84" t="s">
        <v>312</v>
      </c>
      <c r="B111" s="80">
        <v>0</v>
      </c>
      <c r="C111" s="80">
        <v>77007.070000000007</v>
      </c>
      <c r="D111" s="80">
        <v>77007.070000000007</v>
      </c>
      <c r="E111" s="80">
        <v>0</v>
      </c>
      <c r="F111" s="80">
        <v>20721.8</v>
      </c>
      <c r="G111" s="80">
        <f t="shared" si="25"/>
        <v>77007.070000000007</v>
      </c>
    </row>
    <row r="112" spans="1:7" x14ac:dyDescent="0.25">
      <c r="A112" s="84" t="s">
        <v>313</v>
      </c>
      <c r="B112" s="80">
        <v>338919.66</v>
      </c>
      <c r="C112" s="80">
        <v>-7716.4700000000012</v>
      </c>
      <c r="D112" s="80">
        <v>331203.19</v>
      </c>
      <c r="E112" s="80">
        <v>0</v>
      </c>
      <c r="F112" s="80">
        <v>121124.44</v>
      </c>
      <c r="G112" s="80">
        <f t="shared" si="25"/>
        <v>331203.19</v>
      </c>
    </row>
    <row r="113" spans="1:7" x14ac:dyDescent="0.25">
      <c r="A113" s="83" t="s">
        <v>314</v>
      </c>
      <c r="B113" s="80">
        <f>SUM(B114:B122)</f>
        <v>34282935.600000001</v>
      </c>
      <c r="C113" s="80">
        <f t="shared" ref="C113:G113" si="26">SUM(C114:C122)</f>
        <v>10554674.010000002</v>
      </c>
      <c r="D113" s="80">
        <f t="shared" si="26"/>
        <v>44837609.609999999</v>
      </c>
      <c r="E113" s="80">
        <f t="shared" si="26"/>
        <v>0</v>
      </c>
      <c r="F113" s="80">
        <f t="shared" si="26"/>
        <v>17671063.649999999</v>
      </c>
      <c r="G113" s="80">
        <f t="shared" si="26"/>
        <v>44837609.609999999</v>
      </c>
    </row>
    <row r="114" spans="1:7" x14ac:dyDescent="0.25">
      <c r="A114" s="84" t="s">
        <v>315</v>
      </c>
      <c r="B114" s="80">
        <v>14782935.6</v>
      </c>
      <c r="C114" s="80">
        <v>0</v>
      </c>
      <c r="D114" s="80">
        <v>14782935.6</v>
      </c>
      <c r="E114" s="80">
        <v>0</v>
      </c>
      <c r="F114" s="80">
        <v>8724007.8000000007</v>
      </c>
      <c r="G114" s="80">
        <f>D114-E114</f>
        <v>14782935.6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>
        <v>6000000</v>
      </c>
      <c r="C116" s="80">
        <v>5016156.83</v>
      </c>
      <c r="D116" s="80">
        <v>11016156.83</v>
      </c>
      <c r="E116" s="80">
        <v>0</v>
      </c>
      <c r="F116" s="80">
        <v>3084317</v>
      </c>
      <c r="G116" s="80">
        <f t="shared" si="27"/>
        <v>11016156.83</v>
      </c>
    </row>
    <row r="117" spans="1:7" x14ac:dyDescent="0.25">
      <c r="A117" s="84" t="s">
        <v>318</v>
      </c>
      <c r="B117" s="80">
        <v>13500000</v>
      </c>
      <c r="C117" s="80">
        <v>5538517.1800000016</v>
      </c>
      <c r="D117" s="80">
        <v>19038517.18</v>
      </c>
      <c r="E117" s="80">
        <v>0</v>
      </c>
      <c r="F117" s="80">
        <v>5862738.8499999996</v>
      </c>
      <c r="G117" s="80">
        <f t="shared" si="27"/>
        <v>19038517.18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8544220.1099999994</v>
      </c>
      <c r="C123" s="80">
        <f t="shared" ref="C123:G123" si="28">SUM(C124:C132)</f>
        <v>473999</v>
      </c>
      <c r="D123" s="80">
        <f t="shared" si="28"/>
        <v>9018219.1099999994</v>
      </c>
      <c r="E123" s="80">
        <f t="shared" si="28"/>
        <v>0</v>
      </c>
      <c r="F123" s="80">
        <f t="shared" si="28"/>
        <v>1104984.1599999999</v>
      </c>
      <c r="G123" s="80">
        <f t="shared" si="28"/>
        <v>9018219.1099999994</v>
      </c>
    </row>
    <row r="124" spans="1:7" x14ac:dyDescent="0.25">
      <c r="A124" s="84" t="s">
        <v>325</v>
      </c>
      <c r="B124" s="80">
        <v>1143683.3400000001</v>
      </c>
      <c r="C124" s="80">
        <v>493000</v>
      </c>
      <c r="D124" s="80">
        <v>1636683.34</v>
      </c>
      <c r="E124" s="80">
        <v>0</v>
      </c>
      <c r="F124" s="80">
        <v>803930.85</v>
      </c>
      <c r="G124" s="80">
        <f>D124-E124</f>
        <v>1636683.34</v>
      </c>
    </row>
    <row r="125" spans="1:7" x14ac:dyDescent="0.25">
      <c r="A125" s="84" t="s">
        <v>326</v>
      </c>
      <c r="B125" s="80">
        <v>241000</v>
      </c>
      <c r="C125" s="80">
        <v>-50001</v>
      </c>
      <c r="D125" s="80">
        <v>190999</v>
      </c>
      <c r="E125" s="80">
        <v>0</v>
      </c>
      <c r="F125" s="80">
        <v>35799.01</v>
      </c>
      <c r="G125" s="80">
        <f t="shared" ref="G125:G132" si="29">D125-E125</f>
        <v>190999</v>
      </c>
    </row>
    <row r="126" spans="1:7" x14ac:dyDescent="0.25">
      <c r="A126" s="84" t="s">
        <v>327</v>
      </c>
      <c r="B126" s="80">
        <v>110000</v>
      </c>
      <c r="C126" s="80">
        <v>120000</v>
      </c>
      <c r="D126" s="80">
        <v>230000</v>
      </c>
      <c r="E126" s="80">
        <v>0</v>
      </c>
      <c r="F126" s="80">
        <v>132339.99</v>
      </c>
      <c r="G126" s="80">
        <f t="shared" si="29"/>
        <v>230000</v>
      </c>
    </row>
    <row r="127" spans="1:7" x14ac:dyDescent="0.25">
      <c r="A127" s="84" t="s">
        <v>328</v>
      </c>
      <c r="B127" s="80">
        <v>5300000</v>
      </c>
      <c r="C127" s="80">
        <v>0</v>
      </c>
      <c r="D127" s="80">
        <v>5300000</v>
      </c>
      <c r="E127" s="80">
        <v>0</v>
      </c>
      <c r="F127" s="80">
        <v>0</v>
      </c>
      <c r="G127" s="80">
        <f t="shared" si="29"/>
        <v>5300000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>
        <v>1749536.77</v>
      </c>
      <c r="C129" s="80">
        <v>-89000</v>
      </c>
      <c r="D129" s="80">
        <v>1660536.77</v>
      </c>
      <c r="E129" s="80">
        <v>0</v>
      </c>
      <c r="F129" s="80">
        <v>132914.31</v>
      </c>
      <c r="G129" s="80">
        <f t="shared" si="29"/>
        <v>1660536.77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114167904.3</v>
      </c>
      <c r="C133" s="80">
        <f t="shared" ref="C133:G133" si="30">SUM(C134:C136)</f>
        <v>62999814.969999991</v>
      </c>
      <c r="D133" s="80">
        <f t="shared" si="30"/>
        <v>177167719.26999998</v>
      </c>
      <c r="E133" s="80">
        <f t="shared" si="30"/>
        <v>0</v>
      </c>
      <c r="F133" s="80">
        <f t="shared" si="30"/>
        <v>45103850.030000001</v>
      </c>
      <c r="G133" s="80">
        <f t="shared" si="30"/>
        <v>177167719.26999998</v>
      </c>
    </row>
    <row r="134" spans="1:7" x14ac:dyDescent="0.25">
      <c r="A134" s="84" t="s">
        <v>335</v>
      </c>
      <c r="B134" s="80">
        <v>112467904.3</v>
      </c>
      <c r="C134" s="80">
        <v>63633304.899999991</v>
      </c>
      <c r="D134" s="80">
        <v>176101209.19999999</v>
      </c>
      <c r="E134" s="80">
        <v>0</v>
      </c>
      <c r="F134" s="80">
        <v>44933871.670000002</v>
      </c>
      <c r="G134" s="80">
        <f>D134-E134</f>
        <v>176101209.19999999</v>
      </c>
    </row>
    <row r="135" spans="1:7" x14ac:dyDescent="0.25">
      <c r="A135" s="84" t="s">
        <v>336</v>
      </c>
      <c r="B135" s="80">
        <v>1700000</v>
      </c>
      <c r="C135" s="80">
        <v>-633489.92999999993</v>
      </c>
      <c r="D135" s="80">
        <v>1066510.07</v>
      </c>
      <c r="E135" s="80">
        <v>0</v>
      </c>
      <c r="F135" s="80">
        <v>169978.36</v>
      </c>
      <c r="G135" s="80">
        <f t="shared" ref="G135:G136" si="31">D135-E135</f>
        <v>1066510.07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283850</v>
      </c>
      <c r="C146" s="80">
        <f t="shared" ref="C146:G146" si="34">SUM(C147:C149)</f>
        <v>2321710.5099999998</v>
      </c>
      <c r="D146" s="80">
        <f t="shared" si="34"/>
        <v>2605560.5099999998</v>
      </c>
      <c r="E146" s="80">
        <f t="shared" si="34"/>
        <v>0</v>
      </c>
      <c r="F146" s="80">
        <f t="shared" si="34"/>
        <v>421710.51</v>
      </c>
      <c r="G146" s="80">
        <f t="shared" si="34"/>
        <v>2605560.5099999998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>
        <v>283850</v>
      </c>
      <c r="C149" s="80">
        <v>2321710.5099999998</v>
      </c>
      <c r="D149" s="80">
        <v>2605560.5099999998</v>
      </c>
      <c r="E149" s="80">
        <v>0</v>
      </c>
      <c r="F149" s="80">
        <v>421710.51</v>
      </c>
      <c r="G149" s="80">
        <f t="shared" si="35"/>
        <v>2605560.5099999998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365656843.60000002</v>
      </c>
      <c r="C159" s="79">
        <f t="shared" ref="C159:G159" si="38">C9+C84</f>
        <v>129519160.12</v>
      </c>
      <c r="D159" s="79">
        <f t="shared" si="38"/>
        <v>495176003.71999997</v>
      </c>
      <c r="E159" s="79">
        <f t="shared" si="38"/>
        <v>213966.19</v>
      </c>
      <c r="F159" s="79">
        <f t="shared" si="38"/>
        <v>158480705.81999999</v>
      </c>
      <c r="G159" s="79">
        <f t="shared" si="38"/>
        <v>494962037.53000003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scale="45" fitToHeight="0" orientation="portrait" r:id="rId1"/>
  <rowBreaks count="1" manualBreakCount="1">
    <brk id="11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158893481.59999999</v>
      </c>
      <c r="Q2" s="18">
        <f>'Formato 6 a)'!C9</f>
        <v>50536253.450000003</v>
      </c>
      <c r="R2" s="18">
        <f>'Formato 6 a)'!D9</f>
        <v>209429735.05000001</v>
      </c>
      <c r="S2" s="18">
        <f>'Formato 6 a)'!E9</f>
        <v>120899.39000000001</v>
      </c>
      <c r="T2" s="18">
        <f>'Formato 6 a)'!F9</f>
        <v>71675606.680000007</v>
      </c>
      <c r="U2" s="18">
        <f>'Formato 6 a)'!G9</f>
        <v>209308835.66000003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128004457.33</v>
      </c>
      <c r="Q3" s="18">
        <f>'Formato 6 a)'!C10</f>
        <v>-5.8207660913467407E-11</v>
      </c>
      <c r="R3" s="18">
        <f>'Formato 6 a)'!D10</f>
        <v>128004457.33000001</v>
      </c>
      <c r="S3" s="18">
        <f>'Formato 6 a)'!E10</f>
        <v>0</v>
      </c>
      <c r="T3" s="18">
        <f>'Formato 6 a)'!F10</f>
        <v>52829342.719999999</v>
      </c>
      <c r="U3" s="18">
        <f>'Formato 6 a)'!G10</f>
        <v>128004457.33000001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75082487.040000007</v>
      </c>
      <c r="Q4" s="18">
        <f>'Formato 6 a)'!C11</f>
        <v>-746850.42</v>
      </c>
      <c r="R4" s="18">
        <f>'Formato 6 a)'!D11</f>
        <v>74335636.620000005</v>
      </c>
      <c r="S4" s="18">
        <f>'Formato 6 a)'!E11</f>
        <v>0</v>
      </c>
      <c r="T4" s="18">
        <f>'Formato 6 a)'!F11</f>
        <v>36172331.479999997</v>
      </c>
      <c r="U4" s="18">
        <f>'Formato 6 a)'!G11</f>
        <v>74335636.620000005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11017474.140000001</v>
      </c>
      <c r="Q6" s="18">
        <f>'Formato 6 a)'!C13</f>
        <v>0</v>
      </c>
      <c r="R6" s="18">
        <f>'Formato 6 a)'!D13</f>
        <v>11017474.140000001</v>
      </c>
      <c r="S6" s="18">
        <f>'Formato 6 a)'!E13</f>
        <v>0</v>
      </c>
      <c r="T6" s="18">
        <f>'Formato 6 a)'!F13</f>
        <v>891839.19</v>
      </c>
      <c r="U6" s="18">
        <f>'Formato 6 a)'!G13</f>
        <v>11017474.140000001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25566338.350000001</v>
      </c>
      <c r="Q7" s="18">
        <f>'Formato 6 a)'!C14</f>
        <v>0</v>
      </c>
      <c r="R7" s="18">
        <f>'Formato 6 a)'!D14</f>
        <v>25566338.350000001</v>
      </c>
      <c r="S7" s="18">
        <f>'Formato 6 a)'!E14</f>
        <v>0</v>
      </c>
      <c r="T7" s="18">
        <f>'Formato 6 a)'!F14</f>
        <v>6994853.7699999996</v>
      </c>
      <c r="U7" s="18">
        <f>'Formato 6 a)'!G14</f>
        <v>25566338.350000001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12885277.560000001</v>
      </c>
      <c r="Q8" s="18">
        <f>'Formato 6 a)'!C15</f>
        <v>788109.11</v>
      </c>
      <c r="R8" s="18">
        <f>'Formato 6 a)'!D15</f>
        <v>13673386.67</v>
      </c>
      <c r="S8" s="18">
        <f>'Formato 6 a)'!E15</f>
        <v>0</v>
      </c>
      <c r="T8" s="18">
        <f>'Formato 6 a)'!F15</f>
        <v>7117383.4000000004</v>
      </c>
      <c r="U8" s="18">
        <f>'Formato 6 a)'!G15</f>
        <v>13673386.67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3452880.24</v>
      </c>
      <c r="Q10" s="18">
        <f>'Formato 6 a)'!C17</f>
        <v>-41258.69</v>
      </c>
      <c r="R10" s="18">
        <f>'Formato 6 a)'!D17</f>
        <v>3411621.55</v>
      </c>
      <c r="S10" s="18">
        <f>'Formato 6 a)'!E17</f>
        <v>0</v>
      </c>
      <c r="T10" s="18">
        <f>'Formato 6 a)'!F17</f>
        <v>1652934.88</v>
      </c>
      <c r="U10" s="18">
        <f>'Formato 6 a)'!G17</f>
        <v>3411621.55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6020000.8899999997</v>
      </c>
      <c r="Q11" s="18">
        <f>'Formato 6 a)'!C18</f>
        <v>2228244.94</v>
      </c>
      <c r="R11" s="18">
        <f>'Formato 6 a)'!D18</f>
        <v>8248245.8300000001</v>
      </c>
      <c r="S11" s="18">
        <f>'Formato 6 a)'!E18</f>
        <v>58246.990000000005</v>
      </c>
      <c r="T11" s="18">
        <f>'Formato 6 a)'!F18</f>
        <v>2302796.6799999997</v>
      </c>
      <c r="U11" s="18">
        <f>'Formato 6 a)'!G18</f>
        <v>8189998.8400000008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1831817.51</v>
      </c>
      <c r="Q12" s="18">
        <f>'Formato 6 a)'!C19</f>
        <v>-126600</v>
      </c>
      <c r="R12" s="18">
        <f>'Formato 6 a)'!D19</f>
        <v>1705217.51</v>
      </c>
      <c r="S12" s="18">
        <f>'Formato 6 a)'!E19</f>
        <v>42303.38</v>
      </c>
      <c r="T12" s="18">
        <f>'Formato 6 a)'!F19</f>
        <v>247311.15</v>
      </c>
      <c r="U12" s="18">
        <f>'Formato 6 a)'!G19</f>
        <v>1662914.1300000001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344877.51</v>
      </c>
      <c r="Q13" s="18">
        <f>'Formato 6 a)'!C20</f>
        <v>-440</v>
      </c>
      <c r="R13" s="18">
        <f>'Formato 6 a)'!D20</f>
        <v>344437.51</v>
      </c>
      <c r="S13" s="18">
        <f>'Formato 6 a)'!E20</f>
        <v>11690.95</v>
      </c>
      <c r="T13" s="18">
        <f>'Formato 6 a)'!F20</f>
        <v>62070.57</v>
      </c>
      <c r="U13" s="18">
        <f>'Formato 6 a)'!G20</f>
        <v>332746.56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121000</v>
      </c>
      <c r="Q14" s="18">
        <f>'Formato 6 a)'!C21</f>
        <v>0</v>
      </c>
      <c r="R14" s="18">
        <f>'Formato 6 a)'!D21</f>
        <v>121000</v>
      </c>
      <c r="S14" s="18">
        <f>'Formato 6 a)'!E21</f>
        <v>0</v>
      </c>
      <c r="T14" s="18">
        <f>'Formato 6 a)'!F21</f>
        <v>0</v>
      </c>
      <c r="U14" s="18">
        <f>'Formato 6 a)'!G21</f>
        <v>121000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836522.49</v>
      </c>
      <c r="Q15" s="18">
        <f>'Formato 6 a)'!C22</f>
        <v>2311794.94</v>
      </c>
      <c r="R15" s="18">
        <f>'Formato 6 a)'!D22</f>
        <v>3148317.43</v>
      </c>
      <c r="S15" s="18">
        <f>'Formato 6 a)'!E22</f>
        <v>0</v>
      </c>
      <c r="T15" s="18">
        <f>'Formato 6 a)'!F22</f>
        <v>925224.81</v>
      </c>
      <c r="U15" s="18">
        <f>'Formato 6 a)'!G22</f>
        <v>3148317.43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551186.99</v>
      </c>
      <c r="Q16" s="18">
        <f>'Formato 6 a)'!C23</f>
        <v>-4000</v>
      </c>
      <c r="R16" s="18">
        <f>'Formato 6 a)'!D23</f>
        <v>547186.99</v>
      </c>
      <c r="S16" s="18">
        <f>'Formato 6 a)'!E23</f>
        <v>0</v>
      </c>
      <c r="T16" s="18">
        <f>'Formato 6 a)'!F23</f>
        <v>16400</v>
      </c>
      <c r="U16" s="18">
        <f>'Formato 6 a)'!G23</f>
        <v>547186.99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1762529.53</v>
      </c>
      <c r="Q17" s="18">
        <f>'Formato 6 a)'!C24</f>
        <v>-4555</v>
      </c>
      <c r="R17" s="18">
        <f>'Formato 6 a)'!D24</f>
        <v>1757974.53</v>
      </c>
      <c r="S17" s="18">
        <f>'Formato 6 a)'!E24</f>
        <v>0</v>
      </c>
      <c r="T17" s="18">
        <f>'Formato 6 a)'!F24</f>
        <v>929756.94</v>
      </c>
      <c r="U17" s="18">
        <f>'Formato 6 a)'!G24</f>
        <v>1757974.53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131845.39000000001</v>
      </c>
      <c r="Q18" s="18">
        <f>'Formato 6 a)'!C25</f>
        <v>11500</v>
      </c>
      <c r="R18" s="18">
        <f>'Formato 6 a)'!D25</f>
        <v>143345.39000000001</v>
      </c>
      <c r="S18" s="18">
        <f>'Formato 6 a)'!E25</f>
        <v>0</v>
      </c>
      <c r="T18" s="18">
        <f>'Formato 6 a)'!F25</f>
        <v>38295.21</v>
      </c>
      <c r="U18" s="18">
        <f>'Formato 6 a)'!G25</f>
        <v>143345.39000000001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440221.47</v>
      </c>
      <c r="Q20" s="18">
        <f>'Formato 6 a)'!C27</f>
        <v>40545</v>
      </c>
      <c r="R20" s="18">
        <f>'Formato 6 a)'!D27</f>
        <v>480766.47</v>
      </c>
      <c r="S20" s="18">
        <f>'Formato 6 a)'!E27</f>
        <v>4252.66</v>
      </c>
      <c r="T20" s="18">
        <f>'Formato 6 a)'!F27</f>
        <v>83738</v>
      </c>
      <c r="U20" s="18">
        <f>'Formato 6 a)'!G27</f>
        <v>476513.81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12287398.18</v>
      </c>
      <c r="Q21" s="18">
        <f>'Formato 6 a)'!C28</f>
        <v>12425422.020000001</v>
      </c>
      <c r="R21" s="18">
        <f>'Formato 6 a)'!D28</f>
        <v>24712820.200000003</v>
      </c>
      <c r="S21" s="18">
        <f>'Formato 6 a)'!E28</f>
        <v>14023</v>
      </c>
      <c r="T21" s="18">
        <f>'Formato 6 a)'!F28</f>
        <v>4014412.1000000006</v>
      </c>
      <c r="U21" s="18">
        <f>'Formato 6 a)'!G28</f>
        <v>24698797.200000003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224710</v>
      </c>
      <c r="Q22" s="18">
        <f>'Formato 6 a)'!C29</f>
        <v>0</v>
      </c>
      <c r="R22" s="18">
        <f>'Formato 6 a)'!D29</f>
        <v>224710</v>
      </c>
      <c r="S22" s="18">
        <f>'Formato 6 a)'!E29</f>
        <v>0</v>
      </c>
      <c r="T22" s="18">
        <f>'Formato 6 a)'!F29</f>
        <v>76053.570000000007</v>
      </c>
      <c r="U22" s="18">
        <f>'Formato 6 a)'!G29</f>
        <v>224710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1530580.18</v>
      </c>
      <c r="Q23" s="18">
        <f>'Formato 6 a)'!C30</f>
        <v>549011.06999999995</v>
      </c>
      <c r="R23" s="18">
        <f>'Formato 6 a)'!D30</f>
        <v>2079591.25</v>
      </c>
      <c r="S23" s="18">
        <f>'Formato 6 a)'!E30</f>
        <v>5903</v>
      </c>
      <c r="T23" s="18">
        <f>'Formato 6 a)'!F30</f>
        <v>860629.77</v>
      </c>
      <c r="U23" s="18">
        <f>'Formato 6 a)'!G30</f>
        <v>2073688.25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4570498.51</v>
      </c>
      <c r="Q24" s="18">
        <f>'Formato 6 a)'!C31</f>
        <v>1268712</v>
      </c>
      <c r="R24" s="18">
        <f>'Formato 6 a)'!D31</f>
        <v>5839210.5099999998</v>
      </c>
      <c r="S24" s="18">
        <f>'Formato 6 a)'!E31</f>
        <v>8120</v>
      </c>
      <c r="T24" s="18">
        <f>'Formato 6 a)'!F31</f>
        <v>811721.54</v>
      </c>
      <c r="U24" s="18">
        <f>'Formato 6 a)'!G31</f>
        <v>5831090.5099999998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556100</v>
      </c>
      <c r="Q25" s="18">
        <f>'Formato 6 a)'!C32</f>
        <v>8000</v>
      </c>
      <c r="R25" s="18">
        <f>'Formato 6 a)'!D32</f>
        <v>564100</v>
      </c>
      <c r="S25" s="18">
        <f>'Formato 6 a)'!E32</f>
        <v>0</v>
      </c>
      <c r="T25" s="18">
        <f>'Formato 6 a)'!F32</f>
        <v>45540.4</v>
      </c>
      <c r="U25" s="18">
        <f>'Formato 6 a)'!G32</f>
        <v>564100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305138.06</v>
      </c>
      <c r="Q26" s="18">
        <f>'Formato 6 a)'!C33</f>
        <v>29500</v>
      </c>
      <c r="R26" s="18">
        <f>'Formato 6 a)'!D33</f>
        <v>334638.06</v>
      </c>
      <c r="S26" s="18">
        <f>'Formato 6 a)'!E33</f>
        <v>0</v>
      </c>
      <c r="T26" s="18">
        <f>'Formato 6 a)'!F33</f>
        <v>38418.33</v>
      </c>
      <c r="U26" s="18">
        <f>'Formato 6 a)'!G33</f>
        <v>334638.06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422836.99</v>
      </c>
      <c r="Q27" s="18">
        <f>'Formato 6 a)'!C34</f>
        <v>73000</v>
      </c>
      <c r="R27" s="18">
        <f>'Formato 6 a)'!D34</f>
        <v>495836.99</v>
      </c>
      <c r="S27" s="18">
        <f>'Formato 6 a)'!E34</f>
        <v>0</v>
      </c>
      <c r="T27" s="18">
        <f>'Formato 6 a)'!F34</f>
        <v>99532.36</v>
      </c>
      <c r="U27" s="18">
        <f>'Formato 6 a)'!G34</f>
        <v>495836.99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164243.32</v>
      </c>
      <c r="Q28" s="18">
        <f>'Formato 6 a)'!C35</f>
        <v>148</v>
      </c>
      <c r="R28" s="18">
        <f>'Formato 6 a)'!D35</f>
        <v>164391.32</v>
      </c>
      <c r="S28" s="18">
        <f>'Formato 6 a)'!E35</f>
        <v>0</v>
      </c>
      <c r="T28" s="18">
        <f>'Formato 6 a)'!F35</f>
        <v>22309.68</v>
      </c>
      <c r="U28" s="18">
        <f>'Formato 6 a)'!G35</f>
        <v>164391.32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659448.99</v>
      </c>
      <c r="Q29" s="18">
        <f>'Formato 6 a)'!C36</f>
        <v>1596847.08</v>
      </c>
      <c r="R29" s="18">
        <f>'Formato 6 a)'!D36</f>
        <v>2256296.0699999998</v>
      </c>
      <c r="S29" s="18">
        <f>'Formato 6 a)'!E36</f>
        <v>0</v>
      </c>
      <c r="T29" s="18">
        <f>'Formato 6 a)'!F36</f>
        <v>746408.36</v>
      </c>
      <c r="U29" s="18">
        <f>'Formato 6 a)'!G36</f>
        <v>2256296.0699999998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3853842.13</v>
      </c>
      <c r="Q30" s="18">
        <f>'Formato 6 a)'!C37</f>
        <v>8900203.870000001</v>
      </c>
      <c r="R30" s="18">
        <f>'Formato 6 a)'!D37</f>
        <v>12754046</v>
      </c>
      <c r="S30" s="18">
        <f>'Formato 6 a)'!E37</f>
        <v>0</v>
      </c>
      <c r="T30" s="18">
        <f>'Formato 6 a)'!F37</f>
        <v>1313798.0900000001</v>
      </c>
      <c r="U30" s="18">
        <f>'Formato 6 a)'!G37</f>
        <v>12754046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12581625.200000001</v>
      </c>
      <c r="Q31" s="18">
        <f>'Formato 6 a)'!C38</f>
        <v>9092918.5999999996</v>
      </c>
      <c r="R31" s="18">
        <f>'Formato 6 a)'!D38</f>
        <v>21674543.800000001</v>
      </c>
      <c r="S31" s="18">
        <f>'Formato 6 a)'!E38</f>
        <v>48629.4</v>
      </c>
      <c r="T31" s="18">
        <f>'Formato 6 a)'!F38</f>
        <v>5962788.46</v>
      </c>
      <c r="U31" s="18">
        <f>'Formato 6 a)'!G38</f>
        <v>21625914.399999999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100000</v>
      </c>
      <c r="Q34" s="18">
        <f>'Formato 6 a)'!C41</f>
        <v>3420000</v>
      </c>
      <c r="R34" s="18">
        <f>'Formato 6 a)'!D41</f>
        <v>3520000</v>
      </c>
      <c r="S34" s="18">
        <f>'Formato 6 a)'!E41</f>
        <v>0</v>
      </c>
      <c r="T34" s="18">
        <f>'Formato 6 a)'!F41</f>
        <v>0</v>
      </c>
      <c r="U34" s="18">
        <f>'Formato 6 a)'!G41</f>
        <v>3520000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3191366.64</v>
      </c>
      <c r="Q35" s="18">
        <f>'Formato 6 a)'!C42</f>
        <v>3200000</v>
      </c>
      <c r="R35" s="18">
        <f>'Formato 6 a)'!D42</f>
        <v>6391366.6399999997</v>
      </c>
      <c r="S35" s="18">
        <f>'Formato 6 a)'!E42</f>
        <v>48629.4</v>
      </c>
      <c r="T35" s="18">
        <f>'Formato 6 a)'!F42</f>
        <v>1880374.7</v>
      </c>
      <c r="U35" s="18">
        <f>'Formato 6 a)'!G42</f>
        <v>6342737.2399999993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8562838.5600000005</v>
      </c>
      <c r="Q36" s="18">
        <f>'Formato 6 a)'!C43</f>
        <v>2272918.5999999996</v>
      </c>
      <c r="R36" s="18">
        <f>'Formato 6 a)'!D43</f>
        <v>10835757.16</v>
      </c>
      <c r="S36" s="18">
        <f>'Formato 6 a)'!E43</f>
        <v>0</v>
      </c>
      <c r="T36" s="18">
        <f>'Formato 6 a)'!F43</f>
        <v>3794293.89</v>
      </c>
      <c r="U36" s="18">
        <f>'Formato 6 a)'!G43</f>
        <v>10835757.16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727420</v>
      </c>
      <c r="Q39" s="18">
        <f>'Formato 6 a)'!C46</f>
        <v>200000</v>
      </c>
      <c r="R39" s="18">
        <f>'Formato 6 a)'!D46</f>
        <v>927420</v>
      </c>
      <c r="S39" s="18">
        <f>'Formato 6 a)'!E46</f>
        <v>0</v>
      </c>
      <c r="T39" s="18">
        <f>'Formato 6 a)'!F46</f>
        <v>288119.87</v>
      </c>
      <c r="U39" s="18">
        <f>'Formato 6 a)'!G46</f>
        <v>927420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0</v>
      </c>
      <c r="Q41" s="18">
        <f>'Formato 6 a)'!C48</f>
        <v>1342730</v>
      </c>
      <c r="R41" s="18">
        <f>'Formato 6 a)'!D48</f>
        <v>1342730</v>
      </c>
      <c r="S41" s="18">
        <f>'Formato 6 a)'!E48</f>
        <v>0</v>
      </c>
      <c r="T41" s="18">
        <f>'Formato 6 a)'!F48</f>
        <v>34315</v>
      </c>
      <c r="U41" s="18">
        <f>'Formato 6 a)'!G48</f>
        <v>1342730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172730</v>
      </c>
      <c r="R42" s="18">
        <f>'Formato 6 a)'!D49</f>
        <v>172730</v>
      </c>
      <c r="S42" s="18">
        <f>'Formato 6 a)'!E49</f>
        <v>0</v>
      </c>
      <c r="T42" s="18">
        <f>'Formato 6 a)'!F49</f>
        <v>34315</v>
      </c>
      <c r="U42" s="18">
        <f>'Formato 6 a)'!G49</f>
        <v>172730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1050000</v>
      </c>
      <c r="R45" s="18">
        <f>'Formato 6 a)'!D52</f>
        <v>1050000</v>
      </c>
      <c r="S45" s="18">
        <f>'Formato 6 a)'!E52</f>
        <v>0</v>
      </c>
      <c r="T45" s="18">
        <f>'Formato 6 a)'!F52</f>
        <v>0</v>
      </c>
      <c r="U45" s="18">
        <f>'Formato 6 a)'!G52</f>
        <v>1050000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20000</v>
      </c>
      <c r="R47" s="18">
        <f>'Formato 6 a)'!D54</f>
        <v>20000</v>
      </c>
      <c r="S47" s="18">
        <f>'Formato 6 a)'!E54</f>
        <v>0</v>
      </c>
      <c r="T47" s="18">
        <f>'Formato 6 a)'!F54</f>
        <v>0</v>
      </c>
      <c r="U47" s="18">
        <f>'Formato 6 a)'!G54</f>
        <v>20000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100000</v>
      </c>
      <c r="R49" s="18">
        <f>'Formato 6 a)'!D56</f>
        <v>100000</v>
      </c>
      <c r="S49" s="18">
        <f>'Formato 6 a)'!E56</f>
        <v>0</v>
      </c>
      <c r="T49" s="18">
        <f>'Formato 6 a)'!F56</f>
        <v>0</v>
      </c>
      <c r="U49" s="18">
        <f>'Formato 6 a)'!G56</f>
        <v>100000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16707975.890000001</v>
      </c>
      <c r="R51" s="18">
        <f>'Formato 6 a)'!D58</f>
        <v>16707975.890000001</v>
      </c>
      <c r="S51" s="18">
        <f>'Formato 6 a)'!E58</f>
        <v>0</v>
      </c>
      <c r="T51" s="18">
        <f>'Formato 6 a)'!F58</f>
        <v>6531951.7199999997</v>
      </c>
      <c r="U51" s="18">
        <f>'Formato 6 a)'!G58</f>
        <v>16707975.890000001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16707975.890000001</v>
      </c>
      <c r="R52" s="18">
        <f>'Formato 6 a)'!D59</f>
        <v>16707975.890000001</v>
      </c>
      <c r="S52" s="18">
        <f>'Formato 6 a)'!E59</f>
        <v>0</v>
      </c>
      <c r="T52" s="18">
        <f>'Formato 6 a)'!F59</f>
        <v>6531951.7199999997</v>
      </c>
      <c r="U52" s="18">
        <f>'Formato 6 a)'!G59</f>
        <v>16707975.890000001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8738962</v>
      </c>
      <c r="R55" s="18">
        <f>'Formato 6 a)'!D62</f>
        <v>8738962</v>
      </c>
      <c r="S55" s="18">
        <f>'Formato 6 a)'!E62</f>
        <v>0</v>
      </c>
      <c r="T55" s="18">
        <f>'Formato 6 a)'!F62</f>
        <v>0</v>
      </c>
      <c r="U55" s="18">
        <f>'Formato 6 a)'!G62</f>
        <v>8738962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8738962</v>
      </c>
      <c r="R63" s="18">
        <f>'Formato 6 a)'!D70</f>
        <v>8738962</v>
      </c>
      <c r="S63" s="18">
        <f>'Formato 6 a)'!E70</f>
        <v>0</v>
      </c>
      <c r="T63" s="18">
        <f>'Formato 6 a)'!F70</f>
        <v>0</v>
      </c>
      <c r="U63" s="18">
        <f>'Formato 6 a)'!G70</f>
        <v>8738962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206763362</v>
      </c>
      <c r="Q76">
        <f>'Formato 6 a)'!C84</f>
        <v>78982906.670000002</v>
      </c>
      <c r="R76">
        <f>'Formato 6 a)'!D84</f>
        <v>285746268.66999996</v>
      </c>
      <c r="S76">
        <f>'Formato 6 a)'!E84</f>
        <v>93066.8</v>
      </c>
      <c r="T76">
        <f>'Formato 6 a)'!F84</f>
        <v>86805099.140000001</v>
      </c>
      <c r="U76">
        <f>'Formato 6 a)'!G84</f>
        <v>285653201.87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24155836.349999998</v>
      </c>
      <c r="Q85">
        <f>'Formato 6 a)'!C93</f>
        <v>661128.04</v>
      </c>
      <c r="R85">
        <f>'Formato 6 a)'!D93</f>
        <v>24816964.390000001</v>
      </c>
      <c r="S85">
        <f>'Formato 6 a)'!E93</f>
        <v>93066.8</v>
      </c>
      <c r="T85">
        <f>'Formato 6 a)'!F93</f>
        <v>10723422.640000001</v>
      </c>
      <c r="U85">
        <f>'Formato 6 a)'!G93</f>
        <v>24723897.59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1311188.96</v>
      </c>
      <c r="Q86">
        <f>'Formato 6 a)'!C94</f>
        <v>-28683.53</v>
      </c>
      <c r="R86">
        <f>'Formato 6 a)'!D94</f>
        <v>1282505.43</v>
      </c>
      <c r="S86">
        <f>'Formato 6 a)'!E94</f>
        <v>93066.8</v>
      </c>
      <c r="T86">
        <f>'Formato 6 a)'!F94</f>
        <v>496934.65</v>
      </c>
      <c r="U86">
        <f>'Formato 6 a)'!G94</f>
        <v>1189438.6299999999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686472.13</v>
      </c>
      <c r="Q87">
        <f>'Formato 6 a)'!C95</f>
        <v>-15750</v>
      </c>
      <c r="R87">
        <f>'Formato 6 a)'!D95</f>
        <v>670722.13</v>
      </c>
      <c r="S87">
        <f>'Formato 6 a)'!E95</f>
        <v>0</v>
      </c>
      <c r="T87">
        <f>'Formato 6 a)'!F95</f>
        <v>197224.08</v>
      </c>
      <c r="U87">
        <f>'Formato 6 a)'!G95</f>
        <v>670722.13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25000</v>
      </c>
      <c r="Q88">
        <f>'Formato 6 a)'!C96</f>
        <v>-5000</v>
      </c>
      <c r="R88">
        <f>'Formato 6 a)'!D96</f>
        <v>20000</v>
      </c>
      <c r="S88">
        <f>'Formato 6 a)'!E96</f>
        <v>0</v>
      </c>
      <c r="T88">
        <f>'Formato 6 a)'!F96</f>
        <v>0</v>
      </c>
      <c r="U88">
        <f>'Formato 6 a)'!G96</f>
        <v>20000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2844897.9</v>
      </c>
      <c r="Q89">
        <f>'Formato 6 a)'!C97</f>
        <v>559958.9</v>
      </c>
      <c r="R89">
        <f>'Formato 6 a)'!D97</f>
        <v>3404856.8</v>
      </c>
      <c r="S89">
        <f>'Formato 6 a)'!E97</f>
        <v>0</v>
      </c>
      <c r="T89">
        <f>'Formato 6 a)'!F97</f>
        <v>675613.03</v>
      </c>
      <c r="U89">
        <f>'Formato 6 a)'!G97</f>
        <v>3404856.8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282033.75</v>
      </c>
      <c r="Q90">
        <f>'Formato 6 a)'!C98</f>
        <v>-14000</v>
      </c>
      <c r="R90">
        <f>'Formato 6 a)'!D98</f>
        <v>268033.75</v>
      </c>
      <c r="S90">
        <f>'Formato 6 a)'!E98</f>
        <v>0</v>
      </c>
      <c r="T90">
        <f>'Formato 6 a)'!F98</f>
        <v>46469.69</v>
      </c>
      <c r="U90">
        <f>'Formato 6 a)'!G98</f>
        <v>268033.75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13147049.59</v>
      </c>
      <c r="Q91">
        <f>'Formato 6 a)'!C99</f>
        <v>61799.66</v>
      </c>
      <c r="R91">
        <f>'Formato 6 a)'!D99</f>
        <v>13208849.25</v>
      </c>
      <c r="S91">
        <f>'Formato 6 a)'!E99</f>
        <v>0</v>
      </c>
      <c r="T91">
        <f>'Formato 6 a)'!F99</f>
        <v>7133248.4100000001</v>
      </c>
      <c r="U91">
        <f>'Formato 6 a)'!G99</f>
        <v>13208849.25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2554350</v>
      </c>
      <c r="Q92">
        <f>'Formato 6 a)'!C100</f>
        <v>62000</v>
      </c>
      <c r="R92">
        <f>'Formato 6 a)'!D100</f>
        <v>2616350</v>
      </c>
      <c r="S92">
        <f>'Formato 6 a)'!E100</f>
        <v>0</v>
      </c>
      <c r="T92">
        <f>'Formato 6 a)'!F100</f>
        <v>185870.16</v>
      </c>
      <c r="U92">
        <f>'Formato 6 a)'!G100</f>
        <v>2616350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20000</v>
      </c>
      <c r="Q93">
        <f>'Formato 6 a)'!C101</f>
        <v>0</v>
      </c>
      <c r="R93">
        <f>'Formato 6 a)'!D101</f>
        <v>20000</v>
      </c>
      <c r="S93">
        <f>'Formato 6 a)'!E101</f>
        <v>0</v>
      </c>
      <c r="T93">
        <f>'Formato 6 a)'!F101</f>
        <v>0</v>
      </c>
      <c r="U93">
        <f>'Formato 6 a)'!G101</f>
        <v>20000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3284844.02</v>
      </c>
      <c r="Q94">
        <f>'Formato 6 a)'!C102</f>
        <v>40803.009999999995</v>
      </c>
      <c r="R94">
        <f>'Formato 6 a)'!D102</f>
        <v>3325647.03</v>
      </c>
      <c r="S94">
        <f>'Formato 6 a)'!E102</f>
        <v>0</v>
      </c>
      <c r="T94">
        <f>'Formato 6 a)'!F102</f>
        <v>1988062.62</v>
      </c>
      <c r="U94">
        <f>'Formato 6 a)'!G102</f>
        <v>3325647.03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25328615.640000001</v>
      </c>
      <c r="Q95">
        <f>'Formato 6 a)'!C103</f>
        <v>1971580.1400000006</v>
      </c>
      <c r="R95">
        <f>'Formato 6 a)'!D103</f>
        <v>27300195.780000001</v>
      </c>
      <c r="S95">
        <f>'Formato 6 a)'!E103</f>
        <v>0</v>
      </c>
      <c r="T95">
        <f>'Formato 6 a)'!F103</f>
        <v>11780068.15</v>
      </c>
      <c r="U95">
        <f>'Formato 6 a)'!G103</f>
        <v>27300195.780000001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15105630.689999999</v>
      </c>
      <c r="Q96">
        <f>'Formato 6 a)'!C104</f>
        <v>-855200</v>
      </c>
      <c r="R96">
        <f>'Formato 6 a)'!D104</f>
        <v>14250430.689999999</v>
      </c>
      <c r="S96">
        <f>'Formato 6 a)'!E104</f>
        <v>0</v>
      </c>
      <c r="T96">
        <f>'Formato 6 a)'!F104</f>
        <v>6684034.0300000003</v>
      </c>
      <c r="U96">
        <f>'Formato 6 a)'!G104</f>
        <v>14250430.689999999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543843.24</v>
      </c>
      <c r="Q97">
        <f>'Formato 6 a)'!C105</f>
        <v>30301</v>
      </c>
      <c r="R97">
        <f>'Formato 6 a)'!D105</f>
        <v>574144.24</v>
      </c>
      <c r="S97">
        <f>'Formato 6 a)'!E105</f>
        <v>0</v>
      </c>
      <c r="T97">
        <f>'Formato 6 a)'!F105</f>
        <v>229045.68</v>
      </c>
      <c r="U97">
        <f>'Formato 6 a)'!G105</f>
        <v>574144.24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5264571.3</v>
      </c>
      <c r="Q98">
        <f>'Formato 6 a)'!C106</f>
        <v>2242188.5400000005</v>
      </c>
      <c r="R98">
        <f>'Formato 6 a)'!D106</f>
        <v>7506759.8399999999</v>
      </c>
      <c r="S98">
        <f>'Formato 6 a)'!E106</f>
        <v>0</v>
      </c>
      <c r="T98">
        <f>'Formato 6 a)'!F106</f>
        <v>2333879.75</v>
      </c>
      <c r="U98">
        <f>'Formato 6 a)'!G106</f>
        <v>7506759.8399999999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2020000</v>
      </c>
      <c r="Q99">
        <f>'Formato 6 a)'!C107</f>
        <v>360000</v>
      </c>
      <c r="R99">
        <f>'Formato 6 a)'!D107</f>
        <v>2380000</v>
      </c>
      <c r="S99">
        <f>'Formato 6 a)'!E107</f>
        <v>0</v>
      </c>
      <c r="T99">
        <f>'Formato 6 a)'!F107</f>
        <v>1522325.41</v>
      </c>
      <c r="U99">
        <f>'Formato 6 a)'!G107</f>
        <v>2380000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1908347.72</v>
      </c>
      <c r="Q100">
        <f>'Formato 6 a)'!C108</f>
        <v>116700</v>
      </c>
      <c r="R100">
        <f>'Formato 6 a)'!D108</f>
        <v>2025047.72</v>
      </c>
      <c r="S100">
        <f>'Formato 6 a)'!E108</f>
        <v>0</v>
      </c>
      <c r="T100">
        <f>'Formato 6 a)'!F108</f>
        <v>859778.04</v>
      </c>
      <c r="U100">
        <f>'Formato 6 a)'!G108</f>
        <v>2025047.72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61300</v>
      </c>
      <c r="Q101">
        <f>'Formato 6 a)'!C109</f>
        <v>15000</v>
      </c>
      <c r="R101">
        <f>'Formato 6 a)'!D109</f>
        <v>76300</v>
      </c>
      <c r="S101">
        <f>'Formato 6 a)'!E109</f>
        <v>0</v>
      </c>
      <c r="T101">
        <f>'Formato 6 a)'!F109</f>
        <v>5500</v>
      </c>
      <c r="U101">
        <f>'Formato 6 a)'!G109</f>
        <v>76300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86003.03</v>
      </c>
      <c r="Q102">
        <f>'Formato 6 a)'!C110</f>
        <v>-6700</v>
      </c>
      <c r="R102">
        <f>'Formato 6 a)'!D110</f>
        <v>79303.03</v>
      </c>
      <c r="S102">
        <f>'Formato 6 a)'!E110</f>
        <v>0</v>
      </c>
      <c r="T102">
        <f>'Formato 6 a)'!F110</f>
        <v>3659</v>
      </c>
      <c r="U102">
        <f>'Formato 6 a)'!G110</f>
        <v>79303.03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77007.070000000007</v>
      </c>
      <c r="R103">
        <f>'Formato 6 a)'!D111</f>
        <v>77007.070000000007</v>
      </c>
      <c r="S103">
        <f>'Formato 6 a)'!E111</f>
        <v>0</v>
      </c>
      <c r="T103">
        <f>'Formato 6 a)'!F111</f>
        <v>20721.8</v>
      </c>
      <c r="U103">
        <f>'Formato 6 a)'!G111</f>
        <v>77007.070000000007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338919.66</v>
      </c>
      <c r="Q104">
        <f>'Formato 6 a)'!C112</f>
        <v>-7716.4700000000012</v>
      </c>
      <c r="R104">
        <f>'Formato 6 a)'!D112</f>
        <v>331203.19</v>
      </c>
      <c r="S104">
        <f>'Formato 6 a)'!E112</f>
        <v>0</v>
      </c>
      <c r="T104">
        <f>'Formato 6 a)'!F112</f>
        <v>121124.44</v>
      </c>
      <c r="U104">
        <f>'Formato 6 a)'!G112</f>
        <v>331203.19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34282935.600000001</v>
      </c>
      <c r="Q105">
        <f>'Formato 6 a)'!C113</f>
        <v>10554674.010000002</v>
      </c>
      <c r="R105">
        <f>'Formato 6 a)'!D113</f>
        <v>44837609.609999999</v>
      </c>
      <c r="S105">
        <f>'Formato 6 a)'!E113</f>
        <v>0</v>
      </c>
      <c r="T105">
        <f>'Formato 6 a)'!F113</f>
        <v>17671063.649999999</v>
      </c>
      <c r="U105">
        <f>'Formato 6 a)'!G113</f>
        <v>44837609.609999999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14782935.6</v>
      </c>
      <c r="Q106">
        <f>'Formato 6 a)'!C114</f>
        <v>0</v>
      </c>
      <c r="R106">
        <f>'Formato 6 a)'!D114</f>
        <v>14782935.6</v>
      </c>
      <c r="S106">
        <f>'Formato 6 a)'!E114</f>
        <v>0</v>
      </c>
      <c r="T106">
        <f>'Formato 6 a)'!F114</f>
        <v>8724007.8000000007</v>
      </c>
      <c r="U106">
        <f>'Formato 6 a)'!G114</f>
        <v>14782935.6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6000000</v>
      </c>
      <c r="Q108">
        <f>'Formato 6 a)'!C116</f>
        <v>5016156.83</v>
      </c>
      <c r="R108">
        <f>'Formato 6 a)'!D116</f>
        <v>11016156.83</v>
      </c>
      <c r="S108">
        <f>'Formato 6 a)'!E116</f>
        <v>0</v>
      </c>
      <c r="T108">
        <f>'Formato 6 a)'!F116</f>
        <v>3084317</v>
      </c>
      <c r="U108">
        <f>'Formato 6 a)'!G116</f>
        <v>11016156.83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13500000</v>
      </c>
      <c r="Q109">
        <f>'Formato 6 a)'!C117</f>
        <v>5538517.1800000016</v>
      </c>
      <c r="R109">
        <f>'Formato 6 a)'!D117</f>
        <v>19038517.18</v>
      </c>
      <c r="S109">
        <f>'Formato 6 a)'!E117</f>
        <v>0</v>
      </c>
      <c r="T109">
        <f>'Formato 6 a)'!F117</f>
        <v>5862738.8499999996</v>
      </c>
      <c r="U109">
        <f>'Formato 6 a)'!G117</f>
        <v>19038517.18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8544220.1099999994</v>
      </c>
      <c r="Q115">
        <f>'Formato 6 a)'!C123</f>
        <v>473999</v>
      </c>
      <c r="R115">
        <f>'Formato 6 a)'!D123</f>
        <v>9018219.1099999994</v>
      </c>
      <c r="S115">
        <f>'Formato 6 a)'!E123</f>
        <v>0</v>
      </c>
      <c r="T115">
        <f>'Formato 6 a)'!F123</f>
        <v>1104984.1599999999</v>
      </c>
      <c r="U115">
        <f>'Formato 6 a)'!G123</f>
        <v>9018219.1099999994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1143683.3400000001</v>
      </c>
      <c r="Q116">
        <f>'Formato 6 a)'!C124</f>
        <v>493000</v>
      </c>
      <c r="R116">
        <f>'Formato 6 a)'!D124</f>
        <v>1636683.34</v>
      </c>
      <c r="S116">
        <f>'Formato 6 a)'!E124</f>
        <v>0</v>
      </c>
      <c r="T116">
        <f>'Formato 6 a)'!F124</f>
        <v>803930.85</v>
      </c>
      <c r="U116">
        <f>'Formato 6 a)'!G124</f>
        <v>1636683.34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241000</v>
      </c>
      <c r="Q117">
        <f>'Formato 6 a)'!C125</f>
        <v>-50001</v>
      </c>
      <c r="R117">
        <f>'Formato 6 a)'!D125</f>
        <v>190999</v>
      </c>
      <c r="S117">
        <f>'Formato 6 a)'!E125</f>
        <v>0</v>
      </c>
      <c r="T117">
        <f>'Formato 6 a)'!F125</f>
        <v>35799.01</v>
      </c>
      <c r="U117">
        <f>'Formato 6 a)'!G125</f>
        <v>190999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110000</v>
      </c>
      <c r="Q118">
        <f>'Formato 6 a)'!C126</f>
        <v>120000</v>
      </c>
      <c r="R118">
        <f>'Formato 6 a)'!D126</f>
        <v>230000</v>
      </c>
      <c r="S118">
        <f>'Formato 6 a)'!E126</f>
        <v>0</v>
      </c>
      <c r="T118">
        <f>'Formato 6 a)'!F126</f>
        <v>132339.99</v>
      </c>
      <c r="U118">
        <f>'Formato 6 a)'!G126</f>
        <v>230000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5300000</v>
      </c>
      <c r="Q119">
        <f>'Formato 6 a)'!C127</f>
        <v>0</v>
      </c>
      <c r="R119">
        <f>'Formato 6 a)'!D127</f>
        <v>5300000</v>
      </c>
      <c r="S119">
        <f>'Formato 6 a)'!E127</f>
        <v>0</v>
      </c>
      <c r="T119">
        <f>'Formato 6 a)'!F127</f>
        <v>0</v>
      </c>
      <c r="U119">
        <f>'Formato 6 a)'!G127</f>
        <v>5300000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1749536.77</v>
      </c>
      <c r="Q121">
        <f>'Formato 6 a)'!C129</f>
        <v>-89000</v>
      </c>
      <c r="R121">
        <f>'Formato 6 a)'!D129</f>
        <v>1660536.77</v>
      </c>
      <c r="S121">
        <f>'Formato 6 a)'!E129</f>
        <v>0</v>
      </c>
      <c r="T121">
        <f>'Formato 6 a)'!F129</f>
        <v>132914.31</v>
      </c>
      <c r="U121">
        <f>'Formato 6 a)'!G129</f>
        <v>1660536.77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114167904.3</v>
      </c>
      <c r="Q125">
        <f>'Formato 6 a)'!C133</f>
        <v>62999814.969999991</v>
      </c>
      <c r="R125">
        <f>'Formato 6 a)'!D133</f>
        <v>177167719.26999998</v>
      </c>
      <c r="S125">
        <f>'Formato 6 a)'!E133</f>
        <v>0</v>
      </c>
      <c r="T125">
        <f>'Formato 6 a)'!F133</f>
        <v>45103850.030000001</v>
      </c>
      <c r="U125">
        <f>'Formato 6 a)'!G133</f>
        <v>177167719.26999998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112467904.3</v>
      </c>
      <c r="Q126">
        <f>'Formato 6 a)'!C134</f>
        <v>63633304.899999991</v>
      </c>
      <c r="R126">
        <f>'Formato 6 a)'!D134</f>
        <v>176101209.19999999</v>
      </c>
      <c r="S126">
        <f>'Formato 6 a)'!E134</f>
        <v>0</v>
      </c>
      <c r="T126">
        <f>'Formato 6 a)'!F134</f>
        <v>44933871.670000002</v>
      </c>
      <c r="U126">
        <f>'Formato 6 a)'!G134</f>
        <v>176101209.19999999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1700000</v>
      </c>
      <c r="Q127">
        <f>'Formato 6 a)'!C135</f>
        <v>-633489.92999999993</v>
      </c>
      <c r="R127">
        <f>'Formato 6 a)'!D135</f>
        <v>1066510.07</v>
      </c>
      <c r="S127">
        <f>'Formato 6 a)'!E135</f>
        <v>0</v>
      </c>
      <c r="T127">
        <f>'Formato 6 a)'!F135</f>
        <v>169978.36</v>
      </c>
      <c r="U127">
        <f>'Formato 6 a)'!G135</f>
        <v>1066510.07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283850</v>
      </c>
      <c r="Q138">
        <f>'Formato 6 a)'!C146</f>
        <v>2321710.5099999998</v>
      </c>
      <c r="R138">
        <f>'Formato 6 a)'!D146</f>
        <v>2605560.5099999998</v>
      </c>
      <c r="S138">
        <f>'Formato 6 a)'!E146</f>
        <v>0</v>
      </c>
      <c r="T138">
        <f>'Formato 6 a)'!F146</f>
        <v>421710.51</v>
      </c>
      <c r="U138">
        <f>'Formato 6 a)'!G146</f>
        <v>2605560.5099999998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283850</v>
      </c>
      <c r="Q141">
        <f>'Formato 6 a)'!C149</f>
        <v>2321710.5099999998</v>
      </c>
      <c r="R141">
        <f>'Formato 6 a)'!D149</f>
        <v>2605560.5099999998</v>
      </c>
      <c r="S141">
        <f>'Formato 6 a)'!E149</f>
        <v>0</v>
      </c>
      <c r="T141">
        <f>'Formato 6 a)'!F149</f>
        <v>421710.51</v>
      </c>
      <c r="U141">
        <f>'Formato 6 a)'!G149</f>
        <v>2605560.5099999998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365656843.60000002</v>
      </c>
      <c r="Q150">
        <f>'Formato 6 a)'!C159</f>
        <v>129519160.12</v>
      </c>
      <c r="R150">
        <f>'Formato 6 a)'!D159</f>
        <v>495176003.71999997</v>
      </c>
      <c r="S150">
        <f>'Formato 6 a)'!E159</f>
        <v>213966.19</v>
      </c>
      <c r="T150">
        <f>'Formato 6 a)'!F159</f>
        <v>158480705.81999999</v>
      </c>
      <c r="U150">
        <f>'Formato 6 a)'!G159</f>
        <v>494962037.53000003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31"/>
  <sheetViews>
    <sheetView showGridLines="0" view="pageBreakPreview" zoomScale="60" zoomScaleNormal="90" workbookViewId="0">
      <selection activeCell="B21" sqref="B21:F27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85" t="s">
        <v>3290</v>
      </c>
      <c r="B1" s="185"/>
      <c r="C1" s="185"/>
      <c r="D1" s="185"/>
      <c r="E1" s="185"/>
      <c r="F1" s="185"/>
      <c r="G1" s="185"/>
    </row>
    <row r="2" spans="1:7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8"/>
    </row>
    <row r="3" spans="1:7" x14ac:dyDescent="0.25">
      <c r="A3" s="169" t="s">
        <v>277</v>
      </c>
      <c r="B3" s="170"/>
      <c r="C3" s="170"/>
      <c r="D3" s="170"/>
      <c r="E3" s="170"/>
      <c r="F3" s="170"/>
      <c r="G3" s="171"/>
    </row>
    <row r="4" spans="1:7" x14ac:dyDescent="0.25">
      <c r="A4" s="169" t="s">
        <v>431</v>
      </c>
      <c r="B4" s="170"/>
      <c r="C4" s="170"/>
      <c r="D4" s="170"/>
      <c r="E4" s="170"/>
      <c r="F4" s="170"/>
      <c r="G4" s="171"/>
    </row>
    <row r="5" spans="1:7" ht="14.25" x14ac:dyDescent="0.45">
      <c r="A5" s="172" t="str">
        <f>TRIMESTRE</f>
        <v>Del 1 de enero al 30 de junio de 2022 (b)</v>
      </c>
      <c r="B5" s="173"/>
      <c r="C5" s="173"/>
      <c r="D5" s="173"/>
      <c r="E5" s="173"/>
      <c r="F5" s="173"/>
      <c r="G5" s="174"/>
    </row>
    <row r="6" spans="1:7" ht="14.25" x14ac:dyDescent="0.45">
      <c r="A6" s="175" t="s">
        <v>118</v>
      </c>
      <c r="B6" s="176"/>
      <c r="C6" s="176"/>
      <c r="D6" s="176"/>
      <c r="E6" s="176"/>
      <c r="F6" s="176"/>
      <c r="G6" s="177"/>
    </row>
    <row r="7" spans="1:7" x14ac:dyDescent="0.25">
      <c r="A7" s="181" t="s">
        <v>0</v>
      </c>
      <c r="B7" s="183" t="s">
        <v>279</v>
      </c>
      <c r="C7" s="183"/>
      <c r="D7" s="183"/>
      <c r="E7" s="183"/>
      <c r="F7" s="183"/>
      <c r="G7" s="187" t="s">
        <v>280</v>
      </c>
    </row>
    <row r="8" spans="1:7" ht="30" x14ac:dyDescent="0.25">
      <c r="A8" s="18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6"/>
    </row>
    <row r="9" spans="1:7" ht="14.25" x14ac:dyDescent="0.45">
      <c r="A9" s="52" t="s">
        <v>440</v>
      </c>
      <c r="B9" s="59">
        <f>SUM(B10:GASTO_NE_FIN_01)</f>
        <v>158893481.59999999</v>
      </c>
      <c r="C9" s="59">
        <f>SUM(C10:GASTO_NE_FIN_02)</f>
        <v>50536253.450000003</v>
      </c>
      <c r="D9" s="59">
        <f>SUM(D10:GASTO_NE_FIN_03)</f>
        <v>209429735.05000001</v>
      </c>
      <c r="E9" s="59">
        <f>SUM(E10:GASTO_NE_FIN_04)</f>
        <v>120899.39000000001</v>
      </c>
      <c r="F9" s="59">
        <f>SUM(F10:GASTO_NE_FIN_05)</f>
        <v>71675606.680000007</v>
      </c>
      <c r="G9" s="59">
        <f>SUM(G10:GASTO_NE_FIN_06)</f>
        <v>209308835.66000003</v>
      </c>
    </row>
    <row r="10" spans="1:7" s="24" customFormat="1" ht="14.25" x14ac:dyDescent="0.45">
      <c r="A10" s="144" t="s">
        <v>432</v>
      </c>
      <c r="B10" s="60">
        <v>158893481.59999999</v>
      </c>
      <c r="C10" s="60">
        <v>50536253.450000003</v>
      </c>
      <c r="D10" s="60">
        <v>209429735.05000001</v>
      </c>
      <c r="E10" s="60">
        <v>120899.39000000001</v>
      </c>
      <c r="F10" s="60">
        <v>71675606.680000007</v>
      </c>
      <c r="G10" s="77">
        <f>D10-E10</f>
        <v>209308835.66000003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ht="14.25" x14ac:dyDescent="0.4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206763362</v>
      </c>
      <c r="C19" s="61">
        <f>SUM(C20:GASTO_E_FIN_02)</f>
        <v>78982906.670000002</v>
      </c>
      <c r="D19" s="61">
        <f>SUM(D20:GASTO_E_FIN_03)</f>
        <v>285746268.66999996</v>
      </c>
      <c r="E19" s="61">
        <f>SUM(E20:GASTO_E_FIN_04)</f>
        <v>93066.8</v>
      </c>
      <c r="F19" s="61">
        <f>SUM(F20:GASTO_E_FIN_05)</f>
        <v>86805099.140000001</v>
      </c>
      <c r="G19" s="61">
        <f>SUM(G20:GASTO_E_FIN_06)</f>
        <v>285653201.86999995</v>
      </c>
    </row>
    <row r="20" spans="1:7" s="24" customFormat="1" ht="14.25" x14ac:dyDescent="0.45">
      <c r="A20" s="144" t="s">
        <v>432</v>
      </c>
      <c r="B20" s="60">
        <v>206763362</v>
      </c>
      <c r="C20" s="60">
        <v>78982906.670000002</v>
      </c>
      <c r="D20" s="60">
        <v>285746268.66999996</v>
      </c>
      <c r="E20" s="60">
        <v>93066.8</v>
      </c>
      <c r="F20" s="60">
        <v>86805099.140000001</v>
      </c>
      <c r="G20" s="60">
        <f>D20-E20</f>
        <v>285653201.86999995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ht="14.25" x14ac:dyDescent="0.4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ht="14.25" x14ac:dyDescent="0.4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ht="14.25" x14ac:dyDescent="0.4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ht="14.25" x14ac:dyDescent="0.4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ht="14.25" x14ac:dyDescent="0.45">
      <c r="A28" s="76" t="s">
        <v>686</v>
      </c>
      <c r="B28" s="54"/>
      <c r="C28" s="54"/>
      <c r="D28" s="54"/>
      <c r="E28" s="54"/>
      <c r="F28" s="54"/>
      <c r="G28" s="54"/>
    </row>
    <row r="29" spans="1:7" ht="14.25" x14ac:dyDescent="0.45">
      <c r="A29" s="55" t="s">
        <v>360</v>
      </c>
      <c r="B29" s="61">
        <f>GASTO_NE_T1+GASTO_E_T1</f>
        <v>365656843.60000002</v>
      </c>
      <c r="C29" s="61">
        <f>GASTO_NE_T2+GASTO_E_T2</f>
        <v>129519160.12</v>
      </c>
      <c r="D29" s="61">
        <f>GASTO_NE_T3+GASTO_E_T3</f>
        <v>495176003.71999997</v>
      </c>
      <c r="E29" s="61">
        <f>GASTO_NE_T4+GASTO_E_T4</f>
        <v>213966.19</v>
      </c>
      <c r="F29" s="61">
        <f>GASTO_NE_T5+GASTO_E_T5</f>
        <v>158480705.81999999</v>
      </c>
      <c r="G29" s="61">
        <f>GASTO_NE_T6+GASTO_E_T6</f>
        <v>494962037.52999997</v>
      </c>
    </row>
    <row r="30" spans="1:7" ht="14.25" x14ac:dyDescent="0.4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158893481.59999999</v>
      </c>
      <c r="Q2" s="18">
        <f>GASTO_NE_T2</f>
        <v>50536253.450000003</v>
      </c>
      <c r="R2" s="18">
        <f>GASTO_NE_T3</f>
        <v>209429735.05000001</v>
      </c>
      <c r="S2" s="18">
        <f>GASTO_NE_T4</f>
        <v>120899.39000000001</v>
      </c>
      <c r="T2" s="18">
        <f>GASTO_NE_T5</f>
        <v>71675606.680000007</v>
      </c>
      <c r="U2" s="18">
        <f>GASTO_NE_T6</f>
        <v>209308835.66000003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206763362</v>
      </c>
      <c r="Q3" s="18">
        <f>GASTO_E_T2</f>
        <v>78982906.670000002</v>
      </c>
      <c r="R3" s="18">
        <f>GASTO_E_T3</f>
        <v>285746268.66999996</v>
      </c>
      <c r="S3" s="18">
        <f>GASTO_E_T4</f>
        <v>93066.8</v>
      </c>
      <c r="T3" s="18">
        <f>GASTO_E_T5</f>
        <v>86805099.140000001</v>
      </c>
      <c r="U3" s="18">
        <f>GASTO_E_T6</f>
        <v>285653201.86999995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365656843.60000002</v>
      </c>
      <c r="Q4" s="18">
        <f>TOTAL_E_T2</f>
        <v>129519160.12</v>
      </c>
      <c r="R4" s="18">
        <f>TOTAL_E_T3</f>
        <v>495176003.71999997</v>
      </c>
      <c r="S4" s="18">
        <f>TOTAL_E_T4</f>
        <v>213966.19</v>
      </c>
      <c r="T4" s="18">
        <f>TOTAL_E_T5</f>
        <v>158480705.81999999</v>
      </c>
      <c r="U4" s="18">
        <f>TOTAL_E_T6</f>
        <v>494962037.52999997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>
    <pageSetUpPr fitToPage="1"/>
  </sheetPr>
  <dimension ref="A1:XFC78"/>
  <sheetViews>
    <sheetView showGridLines="0" view="pageBreakPreview" zoomScale="60" zoomScaleNormal="90" workbookViewId="0">
      <selection activeCell="C64" sqref="C64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91" t="s">
        <v>3289</v>
      </c>
      <c r="B1" s="192"/>
      <c r="C1" s="192"/>
      <c r="D1" s="192"/>
      <c r="E1" s="192"/>
      <c r="F1" s="192"/>
      <c r="G1" s="192"/>
    </row>
    <row r="2" spans="1:7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8"/>
    </row>
    <row r="3" spans="1:7" x14ac:dyDescent="0.25">
      <c r="A3" s="169" t="s">
        <v>396</v>
      </c>
      <c r="B3" s="170"/>
      <c r="C3" s="170"/>
      <c r="D3" s="170"/>
      <c r="E3" s="170"/>
      <c r="F3" s="170"/>
      <c r="G3" s="171"/>
    </row>
    <row r="4" spans="1:7" x14ac:dyDescent="0.25">
      <c r="A4" s="169" t="s">
        <v>397</v>
      </c>
      <c r="B4" s="170"/>
      <c r="C4" s="170"/>
      <c r="D4" s="170"/>
      <c r="E4" s="170"/>
      <c r="F4" s="170"/>
      <c r="G4" s="171"/>
    </row>
    <row r="5" spans="1:7" ht="14.25" x14ac:dyDescent="0.45">
      <c r="A5" s="172" t="str">
        <f>TRIMESTRE</f>
        <v>Del 1 de enero al 30 de junio de 2022 (b)</v>
      </c>
      <c r="B5" s="173"/>
      <c r="C5" s="173"/>
      <c r="D5" s="173"/>
      <c r="E5" s="173"/>
      <c r="F5" s="173"/>
      <c r="G5" s="174"/>
    </row>
    <row r="6" spans="1:7" ht="14.25" x14ac:dyDescent="0.45">
      <c r="A6" s="175" t="s">
        <v>118</v>
      </c>
      <c r="B6" s="176"/>
      <c r="C6" s="176"/>
      <c r="D6" s="176"/>
      <c r="E6" s="176"/>
      <c r="F6" s="176"/>
      <c r="G6" s="177"/>
    </row>
    <row r="7" spans="1:7" x14ac:dyDescent="0.25">
      <c r="A7" s="170" t="s">
        <v>0</v>
      </c>
      <c r="B7" s="175" t="s">
        <v>279</v>
      </c>
      <c r="C7" s="176"/>
      <c r="D7" s="176"/>
      <c r="E7" s="176"/>
      <c r="F7" s="177"/>
      <c r="G7" s="187" t="s">
        <v>3286</v>
      </c>
    </row>
    <row r="8" spans="1:7" ht="30.75" customHeight="1" x14ac:dyDescent="0.25">
      <c r="A8" s="17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6"/>
    </row>
    <row r="9" spans="1:7" ht="14.25" x14ac:dyDescent="0.45">
      <c r="A9" s="52" t="s">
        <v>363</v>
      </c>
      <c r="B9" s="70">
        <f>SUM(B10,B19,B27,B37)</f>
        <v>158893481.59999999</v>
      </c>
      <c r="C9" s="70">
        <f t="shared" ref="C9:G9" si="0">SUM(C10,C19,C27,C37)</f>
        <v>50536253.450000003</v>
      </c>
      <c r="D9" s="70">
        <f t="shared" si="0"/>
        <v>209429735.05000001</v>
      </c>
      <c r="E9" s="70">
        <f t="shared" si="0"/>
        <v>120899.38999999998</v>
      </c>
      <c r="F9" s="70">
        <f t="shared" si="0"/>
        <v>71675606.679999992</v>
      </c>
      <c r="G9" s="70">
        <f t="shared" si="0"/>
        <v>209308835.66</v>
      </c>
    </row>
    <row r="10" spans="1:7" ht="14.25" x14ac:dyDescent="0.45">
      <c r="A10" s="53" t="s">
        <v>364</v>
      </c>
      <c r="B10" s="71">
        <f>SUM(B11:B18)</f>
        <v>104824321.73</v>
      </c>
      <c r="C10" s="71">
        <f t="shared" ref="C10:F10" si="1">SUM(C11:C18)</f>
        <v>23593410.170000002</v>
      </c>
      <c r="D10" s="71">
        <f t="shared" si="1"/>
        <v>128417731.90000001</v>
      </c>
      <c r="E10" s="71">
        <f t="shared" si="1"/>
        <v>98952.989999999991</v>
      </c>
      <c r="F10" s="71">
        <f t="shared" si="1"/>
        <v>43155327.159999996</v>
      </c>
      <c r="G10" s="71">
        <f>SUM(G11:G18)</f>
        <v>128318778.91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1065820.22</v>
      </c>
      <c r="C12" s="72">
        <v>196472.95999999999</v>
      </c>
      <c r="D12" s="72">
        <v>1262293.18</v>
      </c>
      <c r="E12" s="72">
        <v>0</v>
      </c>
      <c r="F12" s="72">
        <v>378148.56</v>
      </c>
      <c r="G12" s="72">
        <f t="shared" ref="G12:G18" si="2">D12-E12</f>
        <v>1262293.18</v>
      </c>
    </row>
    <row r="13" spans="1:7" x14ac:dyDescent="0.25">
      <c r="A13" s="63" t="s">
        <v>367</v>
      </c>
      <c r="B13" s="72">
        <v>36741818.169999994</v>
      </c>
      <c r="C13" s="72">
        <v>10066467.539999999</v>
      </c>
      <c r="D13" s="72">
        <v>46808285.709999993</v>
      </c>
      <c r="E13" s="72">
        <v>71085.47</v>
      </c>
      <c r="F13" s="72">
        <v>14181167.439999998</v>
      </c>
      <c r="G13" s="72">
        <f t="shared" si="2"/>
        <v>46737200.239999995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x14ac:dyDescent="0.25">
      <c r="A15" s="63" t="s">
        <v>369</v>
      </c>
      <c r="B15" s="72">
        <v>7816999.6600000001</v>
      </c>
      <c r="C15" s="72">
        <v>9208136.75</v>
      </c>
      <c r="D15" s="72">
        <v>17025136.41</v>
      </c>
      <c r="E15" s="72">
        <v>14799.73</v>
      </c>
      <c r="F15" s="72">
        <v>2611498.67</v>
      </c>
      <c r="G15" s="72">
        <f t="shared" si="2"/>
        <v>17010336.68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>
        <v>47864353.700000003</v>
      </c>
      <c r="C17" s="72">
        <v>545370.34000000008</v>
      </c>
      <c r="D17" s="72">
        <v>48409724.040000007</v>
      </c>
      <c r="E17" s="72">
        <v>0</v>
      </c>
      <c r="F17" s="72">
        <v>20071802.509999998</v>
      </c>
      <c r="G17" s="72">
        <f t="shared" si="2"/>
        <v>48409724.040000007</v>
      </c>
    </row>
    <row r="18" spans="1:7" x14ac:dyDescent="0.25">
      <c r="A18" s="63" t="s">
        <v>372</v>
      </c>
      <c r="B18" s="72">
        <v>11335329.98</v>
      </c>
      <c r="C18" s="72">
        <v>3576962.58</v>
      </c>
      <c r="D18" s="72">
        <v>14912292.559999999</v>
      </c>
      <c r="E18" s="72">
        <v>13067.79</v>
      </c>
      <c r="F18" s="72">
        <v>5912709.9800000004</v>
      </c>
      <c r="G18" s="72">
        <f t="shared" si="2"/>
        <v>14899224.77</v>
      </c>
    </row>
    <row r="19" spans="1:7" ht="14.25" x14ac:dyDescent="0.45">
      <c r="A19" s="53" t="s">
        <v>373</v>
      </c>
      <c r="B19" s="71">
        <f>SUM(B20:B26)</f>
        <v>46426849.869999997</v>
      </c>
      <c r="C19" s="71">
        <f t="shared" ref="C19:F19" si="3">SUM(C20:C26)</f>
        <v>25877702.969999999</v>
      </c>
      <c r="D19" s="71">
        <f t="shared" si="3"/>
        <v>72304552.840000018</v>
      </c>
      <c r="E19" s="71">
        <f t="shared" si="3"/>
        <v>15121.75</v>
      </c>
      <c r="F19" s="71">
        <f t="shared" si="3"/>
        <v>25820137.459999997</v>
      </c>
      <c r="G19" s="71">
        <f>SUM(G20:G26)</f>
        <v>72289431.090000018</v>
      </c>
    </row>
    <row r="20" spans="1:7" x14ac:dyDescent="0.25">
      <c r="A20" s="63" t="s">
        <v>374</v>
      </c>
      <c r="B20" s="71">
        <v>4392836.21</v>
      </c>
      <c r="C20" s="71">
        <v>63030.880000000005</v>
      </c>
      <c r="D20" s="71">
        <v>4455867.09</v>
      </c>
      <c r="E20" s="71">
        <v>0</v>
      </c>
      <c r="F20" s="71">
        <v>1679968.18</v>
      </c>
      <c r="G20" s="72">
        <f>D20-E20</f>
        <v>4455867.09</v>
      </c>
    </row>
    <row r="21" spans="1:7" x14ac:dyDescent="0.25">
      <c r="A21" s="63" t="s">
        <v>375</v>
      </c>
      <c r="B21" s="71">
        <v>30378289.129999999</v>
      </c>
      <c r="C21" s="71">
        <v>24185929.32</v>
      </c>
      <c r="D21" s="71">
        <v>54564218.450000003</v>
      </c>
      <c r="E21" s="71">
        <v>0</v>
      </c>
      <c r="F21" s="71">
        <v>19915194.84</v>
      </c>
      <c r="G21" s="72">
        <f t="shared" ref="G21:G26" si="4">D21-E21</f>
        <v>54564218.450000003</v>
      </c>
    </row>
    <row r="22" spans="1:7" x14ac:dyDescent="0.25">
      <c r="A22" s="63" t="s">
        <v>376</v>
      </c>
      <c r="B22" s="71">
        <v>2250056.6</v>
      </c>
      <c r="C22" s="71">
        <v>0</v>
      </c>
      <c r="D22" s="71">
        <v>2250056.6</v>
      </c>
      <c r="E22" s="71">
        <v>4736.29</v>
      </c>
      <c r="F22" s="71">
        <v>453894.52</v>
      </c>
      <c r="G22" s="72">
        <f t="shared" si="4"/>
        <v>2245320.31</v>
      </c>
    </row>
    <row r="23" spans="1:7" x14ac:dyDescent="0.25">
      <c r="A23" s="63" t="s">
        <v>377</v>
      </c>
      <c r="B23" s="71">
        <v>5706659.1699999999</v>
      </c>
      <c r="C23" s="71">
        <v>1670455.02</v>
      </c>
      <c r="D23" s="71">
        <v>7377114.1899999995</v>
      </c>
      <c r="E23" s="71">
        <v>10385.459999999999</v>
      </c>
      <c r="F23" s="71">
        <v>2255238.88</v>
      </c>
      <c r="G23" s="72">
        <f t="shared" si="4"/>
        <v>7366728.7299999995</v>
      </c>
    </row>
    <row r="24" spans="1:7" x14ac:dyDescent="0.25">
      <c r="A24" s="63" t="s">
        <v>378</v>
      </c>
      <c r="B24" s="71">
        <v>3699008.76</v>
      </c>
      <c r="C24" s="71">
        <v>-41712.25</v>
      </c>
      <c r="D24" s="71">
        <v>3657296.51</v>
      </c>
      <c r="E24" s="71">
        <v>0</v>
      </c>
      <c r="F24" s="71">
        <v>1515841.04</v>
      </c>
      <c r="G24" s="72">
        <f t="shared" si="4"/>
        <v>3657296.51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7642310</v>
      </c>
      <c r="C27" s="71">
        <f t="shared" ref="C27:F27" si="5">SUM(C28:C36)</f>
        <v>1065140.31</v>
      </c>
      <c r="D27" s="71">
        <f t="shared" si="5"/>
        <v>8707450.3100000005</v>
      </c>
      <c r="E27" s="71">
        <f t="shared" si="5"/>
        <v>6824.65</v>
      </c>
      <c r="F27" s="71">
        <f t="shared" si="5"/>
        <v>2700142.06</v>
      </c>
      <c r="G27" s="71">
        <f>SUM(G28:G36)</f>
        <v>8700625.6600000001</v>
      </c>
    </row>
    <row r="28" spans="1:7" x14ac:dyDescent="0.25">
      <c r="A28" s="69" t="s">
        <v>382</v>
      </c>
      <c r="B28" s="71">
        <v>7642310</v>
      </c>
      <c r="C28" s="71">
        <v>1065140.31</v>
      </c>
      <c r="D28" s="71">
        <v>8707450.3100000005</v>
      </c>
      <c r="E28" s="71">
        <v>6824.65</v>
      </c>
      <c r="F28" s="71">
        <v>2700142.06</v>
      </c>
      <c r="G28" s="72">
        <f>D28-E28</f>
        <v>8700625.6600000001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x14ac:dyDescent="0.2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206763362</v>
      </c>
      <c r="C43" s="73">
        <f t="shared" ref="C43:G43" si="9">SUM(C44,C53,C61,C71)</f>
        <v>78982906.670000017</v>
      </c>
      <c r="D43" s="73">
        <f t="shared" si="9"/>
        <v>285746268.67000002</v>
      </c>
      <c r="E43" s="73">
        <f t="shared" si="9"/>
        <v>93066.8</v>
      </c>
      <c r="F43" s="73">
        <f t="shared" si="9"/>
        <v>86805099.139999986</v>
      </c>
      <c r="G43" s="73">
        <f t="shared" si="9"/>
        <v>285653201.87</v>
      </c>
    </row>
    <row r="44" spans="1:7" x14ac:dyDescent="0.25">
      <c r="A44" s="53" t="s">
        <v>430</v>
      </c>
      <c r="B44" s="72">
        <f>SUM(B45:B52)</f>
        <v>40343814.090000004</v>
      </c>
      <c r="C44" s="72">
        <f t="shared" ref="C44:G44" si="10">SUM(C45:C52)</f>
        <v>171537.58000000007</v>
      </c>
      <c r="D44" s="72">
        <f t="shared" si="10"/>
        <v>40515351.670000002</v>
      </c>
      <c r="E44" s="72">
        <f t="shared" si="10"/>
        <v>0</v>
      </c>
      <c r="F44" s="72">
        <f t="shared" si="10"/>
        <v>18405757.109999999</v>
      </c>
      <c r="G44" s="72">
        <f t="shared" si="10"/>
        <v>40515351.670000002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>
        <v>21803317.07</v>
      </c>
      <c r="C47" s="72">
        <v>0</v>
      </c>
      <c r="D47" s="72">
        <v>21803317.07</v>
      </c>
      <c r="E47" s="72">
        <v>0</v>
      </c>
      <c r="F47" s="72">
        <v>12637744.23</v>
      </c>
      <c r="G47" s="72">
        <f t="shared" si="11"/>
        <v>21803317.07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>
        <v>18540497.02</v>
      </c>
      <c r="C51" s="72">
        <v>171537.58000000007</v>
      </c>
      <c r="D51" s="72">
        <v>18712034.600000001</v>
      </c>
      <c r="E51" s="72">
        <v>0</v>
      </c>
      <c r="F51" s="72">
        <v>5768012.8799999999</v>
      </c>
      <c r="G51" s="72">
        <f t="shared" si="11"/>
        <v>18712034.600000001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166419547.91</v>
      </c>
      <c r="C53" s="71">
        <f t="shared" ref="C53:G53" si="12">SUM(C54:C60)</f>
        <v>78811369.090000018</v>
      </c>
      <c r="D53" s="71">
        <f t="shared" si="12"/>
        <v>245230917</v>
      </c>
      <c r="E53" s="71">
        <f t="shared" si="12"/>
        <v>93066.8</v>
      </c>
      <c r="F53" s="71">
        <f t="shared" si="12"/>
        <v>68399342.029999986</v>
      </c>
      <c r="G53" s="71">
        <f t="shared" si="12"/>
        <v>245137850.19999999</v>
      </c>
    </row>
    <row r="54" spans="1:7" x14ac:dyDescent="0.25">
      <c r="A54" s="69" t="s">
        <v>374</v>
      </c>
      <c r="B54" s="71">
        <v>832262.52</v>
      </c>
      <c r="C54" s="71">
        <v>630000</v>
      </c>
      <c r="D54" s="71">
        <v>1462262.52</v>
      </c>
      <c r="E54" s="71">
        <v>0</v>
      </c>
      <c r="F54" s="71">
        <v>528897.96</v>
      </c>
      <c r="G54" s="72">
        <f>D54-E54</f>
        <v>1462262.52</v>
      </c>
    </row>
    <row r="55" spans="1:7" x14ac:dyDescent="0.25">
      <c r="A55" s="69" t="s">
        <v>375</v>
      </c>
      <c r="B55" s="71">
        <v>164087285.38999999</v>
      </c>
      <c r="C55" s="71">
        <v>77964362.020000026</v>
      </c>
      <c r="D55" s="71">
        <v>242051647.41</v>
      </c>
      <c r="E55" s="71">
        <v>93066.8</v>
      </c>
      <c r="F55" s="71">
        <v>67811596.269999996</v>
      </c>
      <c r="G55" s="72">
        <f t="shared" ref="G55:G60" si="13">D55-E55</f>
        <v>241958580.60999998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217007.07</v>
      </c>
      <c r="D57" s="71">
        <v>217007.07</v>
      </c>
      <c r="E57" s="71">
        <v>0</v>
      </c>
      <c r="F57" s="71">
        <v>58847.8</v>
      </c>
      <c r="G57" s="72">
        <f t="shared" si="13"/>
        <v>217007.07</v>
      </c>
    </row>
    <row r="58" spans="1:7" x14ac:dyDescent="0.25">
      <c r="A58" s="69" t="s">
        <v>378</v>
      </c>
      <c r="B58" s="71">
        <v>1500000</v>
      </c>
      <c r="C58" s="71">
        <v>0</v>
      </c>
      <c r="D58" s="71">
        <v>1500000</v>
      </c>
      <c r="E58" s="71">
        <v>0</v>
      </c>
      <c r="F58" s="71">
        <v>0</v>
      </c>
      <c r="G58" s="72">
        <f t="shared" si="13"/>
        <v>1500000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365656843.60000002</v>
      </c>
      <c r="C77" s="73">
        <f t="shared" ref="C77:F77" si="18">C43+C9</f>
        <v>129519160.12000002</v>
      </c>
      <c r="D77" s="73">
        <f t="shared" si="18"/>
        <v>495176003.72000003</v>
      </c>
      <c r="E77" s="73">
        <f t="shared" si="18"/>
        <v>213966.19</v>
      </c>
      <c r="F77" s="73">
        <f t="shared" si="18"/>
        <v>158480705.81999999</v>
      </c>
      <c r="G77" s="73">
        <f>G43+G9</f>
        <v>494962037.52999997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scale="6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158893481.59999999</v>
      </c>
      <c r="Q2" s="18">
        <f>'Formato 6 c)'!C9</f>
        <v>50536253.450000003</v>
      </c>
      <c r="R2" s="18">
        <f>'Formato 6 c)'!D9</f>
        <v>209429735.05000001</v>
      </c>
      <c r="S2" s="18">
        <f>'Formato 6 c)'!E9</f>
        <v>120899.38999999998</v>
      </c>
      <c r="T2" s="18">
        <f>'Formato 6 c)'!F9</f>
        <v>71675606.679999992</v>
      </c>
      <c r="U2" s="18">
        <f>'Formato 6 c)'!G9</f>
        <v>209308835.66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104824321.73</v>
      </c>
      <c r="Q3" s="18">
        <f>'Formato 6 c)'!C10</f>
        <v>23593410.170000002</v>
      </c>
      <c r="R3" s="18">
        <f>'Formato 6 c)'!D10</f>
        <v>128417731.90000001</v>
      </c>
      <c r="S3" s="18">
        <f>'Formato 6 c)'!E10</f>
        <v>98952.989999999991</v>
      </c>
      <c r="T3" s="18">
        <f>'Formato 6 c)'!F10</f>
        <v>43155327.159999996</v>
      </c>
      <c r="U3" s="18">
        <f>'Formato 6 c)'!G10</f>
        <v>128318778.91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1065820.22</v>
      </c>
      <c r="Q5" s="18">
        <f>'Formato 6 c)'!C12</f>
        <v>196472.95999999999</v>
      </c>
      <c r="R5" s="18">
        <f>'Formato 6 c)'!D12</f>
        <v>1262293.18</v>
      </c>
      <c r="S5" s="18">
        <f>'Formato 6 c)'!E12</f>
        <v>0</v>
      </c>
      <c r="T5" s="18">
        <f>'Formato 6 c)'!F12</f>
        <v>378148.56</v>
      </c>
      <c r="U5" s="18">
        <f>'Formato 6 c)'!G12</f>
        <v>1262293.18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36741818.169999994</v>
      </c>
      <c r="Q6" s="18">
        <f>'Formato 6 c)'!C13</f>
        <v>10066467.539999999</v>
      </c>
      <c r="R6" s="18">
        <f>'Formato 6 c)'!D13</f>
        <v>46808285.709999993</v>
      </c>
      <c r="S6" s="18">
        <f>'Formato 6 c)'!E13</f>
        <v>71085.47</v>
      </c>
      <c r="T6" s="18">
        <f>'Formato 6 c)'!F13</f>
        <v>14181167.439999998</v>
      </c>
      <c r="U6" s="18">
        <f>'Formato 6 c)'!G13</f>
        <v>46737200.239999995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7816999.6600000001</v>
      </c>
      <c r="Q8" s="18">
        <f>'Formato 6 c)'!C15</f>
        <v>9208136.75</v>
      </c>
      <c r="R8" s="18">
        <f>'Formato 6 c)'!D15</f>
        <v>17025136.41</v>
      </c>
      <c r="S8" s="18">
        <f>'Formato 6 c)'!E15</f>
        <v>14799.73</v>
      </c>
      <c r="T8" s="18">
        <f>'Formato 6 c)'!F15</f>
        <v>2611498.67</v>
      </c>
      <c r="U8" s="18">
        <f>'Formato 6 c)'!G15</f>
        <v>17010336.68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47864353.700000003</v>
      </c>
      <c r="Q10" s="18">
        <f>'Formato 6 c)'!C17</f>
        <v>545370.34000000008</v>
      </c>
      <c r="R10" s="18">
        <f>'Formato 6 c)'!D17</f>
        <v>48409724.040000007</v>
      </c>
      <c r="S10" s="18">
        <f>'Formato 6 c)'!E17</f>
        <v>0</v>
      </c>
      <c r="T10" s="18">
        <f>'Formato 6 c)'!F17</f>
        <v>20071802.509999998</v>
      </c>
      <c r="U10" s="18">
        <f>'Formato 6 c)'!G17</f>
        <v>48409724.040000007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11335329.98</v>
      </c>
      <c r="Q11" s="18">
        <f>'Formato 6 c)'!C18</f>
        <v>3576962.58</v>
      </c>
      <c r="R11" s="18">
        <f>'Formato 6 c)'!D18</f>
        <v>14912292.559999999</v>
      </c>
      <c r="S11" s="18">
        <f>'Formato 6 c)'!E18</f>
        <v>13067.79</v>
      </c>
      <c r="T11" s="18">
        <f>'Formato 6 c)'!F18</f>
        <v>5912709.9800000004</v>
      </c>
      <c r="U11" s="18">
        <f>'Formato 6 c)'!G18</f>
        <v>14899224.77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46426849.869999997</v>
      </c>
      <c r="Q12" s="18">
        <f>'Formato 6 c)'!C19</f>
        <v>25877702.969999999</v>
      </c>
      <c r="R12" s="18">
        <f>'Formato 6 c)'!D19</f>
        <v>72304552.840000018</v>
      </c>
      <c r="S12" s="18">
        <f>'Formato 6 c)'!E19</f>
        <v>15121.75</v>
      </c>
      <c r="T12" s="18">
        <f>'Formato 6 c)'!F19</f>
        <v>25820137.459999997</v>
      </c>
      <c r="U12" s="18">
        <f>'Formato 6 c)'!G19</f>
        <v>72289431.090000018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4392836.21</v>
      </c>
      <c r="Q13" s="18">
        <f>'Formato 6 c)'!C20</f>
        <v>63030.880000000005</v>
      </c>
      <c r="R13" s="18">
        <f>'Formato 6 c)'!D20</f>
        <v>4455867.09</v>
      </c>
      <c r="S13" s="18">
        <f>'Formato 6 c)'!E20</f>
        <v>0</v>
      </c>
      <c r="T13" s="18">
        <f>'Formato 6 c)'!F20</f>
        <v>1679968.18</v>
      </c>
      <c r="U13" s="18">
        <f>'Formato 6 c)'!G20</f>
        <v>4455867.09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30378289.129999999</v>
      </c>
      <c r="Q14" s="18">
        <f>'Formato 6 c)'!C21</f>
        <v>24185929.32</v>
      </c>
      <c r="R14" s="18">
        <f>'Formato 6 c)'!D21</f>
        <v>54564218.450000003</v>
      </c>
      <c r="S14" s="18">
        <f>'Formato 6 c)'!E21</f>
        <v>0</v>
      </c>
      <c r="T14" s="18">
        <f>'Formato 6 c)'!F21</f>
        <v>19915194.84</v>
      </c>
      <c r="U14" s="18">
        <f>'Formato 6 c)'!G21</f>
        <v>54564218.450000003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2250056.6</v>
      </c>
      <c r="Q15" s="18">
        <f>'Formato 6 c)'!C22</f>
        <v>0</v>
      </c>
      <c r="R15" s="18">
        <f>'Formato 6 c)'!D22</f>
        <v>2250056.6</v>
      </c>
      <c r="S15" s="18">
        <f>'Formato 6 c)'!E22</f>
        <v>4736.29</v>
      </c>
      <c r="T15" s="18">
        <f>'Formato 6 c)'!F22</f>
        <v>453894.52</v>
      </c>
      <c r="U15" s="18">
        <f>'Formato 6 c)'!G22</f>
        <v>2245320.31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5706659.1699999999</v>
      </c>
      <c r="Q16" s="18">
        <f>'Formato 6 c)'!C23</f>
        <v>1670455.02</v>
      </c>
      <c r="R16" s="18">
        <f>'Formato 6 c)'!D23</f>
        <v>7377114.1899999995</v>
      </c>
      <c r="S16" s="18">
        <f>'Formato 6 c)'!E23</f>
        <v>10385.459999999999</v>
      </c>
      <c r="T16" s="18">
        <f>'Formato 6 c)'!F23</f>
        <v>2255238.88</v>
      </c>
      <c r="U16" s="18">
        <f>'Formato 6 c)'!G23</f>
        <v>7366728.7299999995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3699008.76</v>
      </c>
      <c r="Q17" s="18">
        <f>'Formato 6 c)'!C24</f>
        <v>-41712.25</v>
      </c>
      <c r="R17" s="18">
        <f>'Formato 6 c)'!D24</f>
        <v>3657296.51</v>
      </c>
      <c r="S17" s="18">
        <f>'Formato 6 c)'!E24</f>
        <v>0</v>
      </c>
      <c r="T17" s="18">
        <f>'Formato 6 c)'!F24</f>
        <v>1515841.04</v>
      </c>
      <c r="U17" s="18">
        <f>'Formato 6 c)'!G24</f>
        <v>3657296.51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7642310</v>
      </c>
      <c r="Q20" s="18">
        <f>'Formato 6 c)'!C27</f>
        <v>1065140.31</v>
      </c>
      <c r="R20" s="18">
        <f>'Formato 6 c)'!D27</f>
        <v>8707450.3100000005</v>
      </c>
      <c r="S20" s="18">
        <f>'Formato 6 c)'!E27</f>
        <v>6824.65</v>
      </c>
      <c r="T20" s="18">
        <f>'Formato 6 c)'!F27</f>
        <v>2700142.06</v>
      </c>
      <c r="U20" s="18">
        <f>'Formato 6 c)'!G27</f>
        <v>8700625.6600000001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7642310</v>
      </c>
      <c r="Q21" s="18">
        <f>'Formato 6 c)'!C28</f>
        <v>1065140.31</v>
      </c>
      <c r="R21" s="18">
        <f>'Formato 6 c)'!D28</f>
        <v>8707450.3100000005</v>
      </c>
      <c r="S21" s="18">
        <f>'Formato 6 c)'!E28</f>
        <v>6824.65</v>
      </c>
      <c r="T21" s="18">
        <f>'Formato 6 c)'!F28</f>
        <v>2700142.06</v>
      </c>
      <c r="U21" s="18">
        <f>'Formato 6 c)'!G28</f>
        <v>8700625.6600000001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206763362</v>
      </c>
      <c r="Q35" s="18">
        <f>'Formato 6 c)'!C43</f>
        <v>78982906.670000017</v>
      </c>
      <c r="R35" s="18">
        <f>'Formato 6 c)'!D43</f>
        <v>285746268.67000002</v>
      </c>
      <c r="S35" s="18">
        <f>'Formato 6 c)'!E43</f>
        <v>93066.8</v>
      </c>
      <c r="T35" s="18">
        <f>'Formato 6 c)'!F43</f>
        <v>86805099.139999986</v>
      </c>
      <c r="U35" s="18">
        <f>'Formato 6 c)'!G43</f>
        <v>285653201.87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40343814.090000004</v>
      </c>
      <c r="Q36" s="18">
        <f>'Formato 6 c)'!C44</f>
        <v>171537.58000000007</v>
      </c>
      <c r="R36" s="18">
        <f>'Formato 6 c)'!D44</f>
        <v>40515351.670000002</v>
      </c>
      <c r="S36" s="18">
        <f>'Formato 6 c)'!E44</f>
        <v>0</v>
      </c>
      <c r="T36" s="18">
        <f>'Formato 6 c)'!F44</f>
        <v>18405757.109999999</v>
      </c>
      <c r="U36" s="18">
        <f>'Formato 6 c)'!G44</f>
        <v>40515351.670000002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21803317.07</v>
      </c>
      <c r="Q39" s="18">
        <f>'Formato 6 c)'!C47</f>
        <v>0</v>
      </c>
      <c r="R39" s="18">
        <f>'Formato 6 c)'!D47</f>
        <v>21803317.07</v>
      </c>
      <c r="S39" s="18">
        <f>'Formato 6 c)'!E47</f>
        <v>0</v>
      </c>
      <c r="T39" s="18">
        <f>'Formato 6 c)'!F47</f>
        <v>12637744.23</v>
      </c>
      <c r="U39" s="18">
        <f>'Formato 6 c)'!G47</f>
        <v>21803317.07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18540497.02</v>
      </c>
      <c r="Q43" s="18">
        <f>'Formato 6 c)'!C51</f>
        <v>171537.58000000007</v>
      </c>
      <c r="R43" s="18">
        <f>'Formato 6 c)'!D51</f>
        <v>18712034.600000001</v>
      </c>
      <c r="S43" s="18">
        <f>'Formato 6 c)'!E51</f>
        <v>0</v>
      </c>
      <c r="T43" s="18">
        <f>'Formato 6 c)'!F51</f>
        <v>5768012.8799999999</v>
      </c>
      <c r="U43" s="18">
        <f>'Formato 6 c)'!G51</f>
        <v>18712034.600000001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166419547.91</v>
      </c>
      <c r="Q45" s="18">
        <f>'Formato 6 c)'!C53</f>
        <v>78811369.090000018</v>
      </c>
      <c r="R45" s="18">
        <f>'Formato 6 c)'!D53</f>
        <v>245230917</v>
      </c>
      <c r="S45" s="18">
        <f>'Formato 6 c)'!E53</f>
        <v>93066.8</v>
      </c>
      <c r="T45" s="18">
        <f>'Formato 6 c)'!F53</f>
        <v>68399342.029999986</v>
      </c>
      <c r="U45" s="18">
        <f>'Formato 6 c)'!G53</f>
        <v>245137850.19999999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832262.52</v>
      </c>
      <c r="Q46" s="18">
        <f>'Formato 6 c)'!C54</f>
        <v>630000</v>
      </c>
      <c r="R46" s="18">
        <f>'Formato 6 c)'!D54</f>
        <v>1462262.52</v>
      </c>
      <c r="S46" s="18">
        <f>'Formato 6 c)'!E54</f>
        <v>0</v>
      </c>
      <c r="T46" s="18">
        <f>'Formato 6 c)'!F54</f>
        <v>528897.96</v>
      </c>
      <c r="U46" s="18">
        <f>'Formato 6 c)'!G54</f>
        <v>1462262.52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164087285.38999999</v>
      </c>
      <c r="Q47" s="18">
        <f>'Formato 6 c)'!C55</f>
        <v>77964362.020000026</v>
      </c>
      <c r="R47" s="18">
        <f>'Formato 6 c)'!D55</f>
        <v>242051647.41</v>
      </c>
      <c r="S47" s="18">
        <f>'Formato 6 c)'!E55</f>
        <v>93066.8</v>
      </c>
      <c r="T47" s="18">
        <f>'Formato 6 c)'!F55</f>
        <v>67811596.269999996</v>
      </c>
      <c r="U47" s="18">
        <f>'Formato 6 c)'!G55</f>
        <v>241958580.60999998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217007.07</v>
      </c>
      <c r="R49" s="18">
        <f>'Formato 6 c)'!D57</f>
        <v>217007.07</v>
      </c>
      <c r="S49" s="18">
        <f>'Formato 6 c)'!E57</f>
        <v>0</v>
      </c>
      <c r="T49" s="18">
        <f>'Formato 6 c)'!F57</f>
        <v>58847.8</v>
      </c>
      <c r="U49" s="18">
        <f>'Formato 6 c)'!G57</f>
        <v>217007.07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0</v>
      </c>
      <c r="R50" s="18">
        <f>'Formato 6 c)'!D58</f>
        <v>1500000</v>
      </c>
      <c r="S50" s="18">
        <f>'Formato 6 c)'!E58</f>
        <v>0</v>
      </c>
      <c r="T50" s="18">
        <f>'Formato 6 c)'!F58</f>
        <v>0</v>
      </c>
      <c r="U50" s="18">
        <f>'Formato 6 c)'!G58</f>
        <v>1500000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365656843.60000002</v>
      </c>
      <c r="Q68" s="18">
        <f>'Formato 6 c)'!C77</f>
        <v>129519160.12000002</v>
      </c>
      <c r="R68" s="18">
        <f>'Formato 6 c)'!D77</f>
        <v>495176003.72000003</v>
      </c>
      <c r="S68" s="18">
        <f>'Formato 6 c)'!E77</f>
        <v>213966.19</v>
      </c>
      <c r="T68" s="18">
        <f>'Formato 6 c)'!F77</f>
        <v>158480705.81999999</v>
      </c>
      <c r="U68" s="18">
        <f>'Formato 6 c)'!G77</f>
        <v>494962037.52999997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2022</v>
      </c>
    </row>
    <row r="14" spans="2:3" ht="14.25" x14ac:dyDescent="0.45">
      <c r="B14" t="s">
        <v>793</v>
      </c>
      <c r="C14" s="24" t="s">
        <v>3302</v>
      </c>
    </row>
    <row r="15" spans="2:3" ht="14.25" x14ac:dyDescent="0.45">
      <c r="C15" s="24">
        <v>2</v>
      </c>
    </row>
    <row r="16" spans="2:3" ht="14.25" x14ac:dyDescent="0.45">
      <c r="C16" s="24" t="s">
        <v>3303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2022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2022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2022 (m = g – l)</v>
      </c>
    </row>
    <row r="20" spans="4:9" ht="57" x14ac:dyDescent="0.45">
      <c r="D20" s="21" t="str">
        <f>CONCATENATE(ANIO_INFORME, " (d)")</f>
        <v>2022 (d)</v>
      </c>
      <c r="E20" s="22" t="str">
        <f>CONCATENATE("31 de diciembre de ",ANIO_INFORME-1, " (e)")</f>
        <v>31 de diciembre de 2021 (e)</v>
      </c>
      <c r="F20" s="31" t="str">
        <f>CONCATENATE("Saldo al 31 de diciembre de ",ANIO_INFORME-1, " (d)")</f>
        <v>Saldo al 31 de diciembre de 2021 (d)</v>
      </c>
    </row>
    <row r="23" spans="4:9" ht="14.25" x14ac:dyDescent="0.45">
      <c r="D23" s="33">
        <f>ANIO_INFORME + 1</f>
        <v>2023</v>
      </c>
      <c r="E23" s="34" t="str">
        <f>CONCATENATE(ANIO_INFORME + 2, " (d)")</f>
        <v>2024 (d)</v>
      </c>
      <c r="F23" s="34" t="str">
        <f>CONCATENATE(ANIO_INFORME + 3, " (d)")</f>
        <v>2025 (d)</v>
      </c>
      <c r="G23" s="34" t="str">
        <f>CONCATENATE(ANIO_INFORME + 4, " (d)")</f>
        <v>2026 (d)</v>
      </c>
      <c r="H23" s="34" t="str">
        <f>CONCATENATE(ANIO_INFORME + 5, " (d)")</f>
        <v>2027 (d)</v>
      </c>
      <c r="I23" s="34" t="str">
        <f>CONCATENATE(ANIO_INFORME + 6, " (d)")</f>
        <v>2028 (d)</v>
      </c>
    </row>
    <row r="25" spans="4:9" x14ac:dyDescent="0.25">
      <c r="D25" s="35" t="str">
        <f>CONCATENATE(ANIO_INFORME - 5, " ",CHAR(185)," (c)")</f>
        <v>2017 ¹ (c)</v>
      </c>
      <c r="E25" s="35" t="str">
        <f>CONCATENATE(ANIO_INFORME - 4, " ",CHAR(185)," (c)")</f>
        <v>2018 ¹ (c)</v>
      </c>
      <c r="F25" s="35" t="str">
        <f>CONCATENATE(ANIO_INFORME - 3, " ",CHAR(185)," (c)")</f>
        <v>2019 ¹ (c)</v>
      </c>
      <c r="G25" s="35" t="str">
        <f>CONCATENATE(ANIO_INFORME - 2, " ",CHAR(185)," (c)")</f>
        <v>2020 ¹ (c)</v>
      </c>
      <c r="H25" s="35" t="str">
        <f>CONCATENATE(ANIO_INFORME - 1, " ",CHAR(185)," (c)")</f>
        <v>2021 ¹ (c)</v>
      </c>
      <c r="I25" s="33">
        <f>ANIO_INFORME</f>
        <v>2022</v>
      </c>
    </row>
    <row r="26" spans="4:9" ht="14.25" x14ac:dyDescent="0.4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>
    <pageSetUpPr fitToPage="1"/>
  </sheetPr>
  <dimension ref="A1:G34"/>
  <sheetViews>
    <sheetView showGridLines="0" view="pageBreakPreview" zoomScale="60" zoomScaleNormal="90" workbookViewId="0">
      <selection activeCell="C21" sqref="C21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85" t="s">
        <v>3287</v>
      </c>
      <c r="B1" s="184"/>
      <c r="C1" s="184"/>
      <c r="D1" s="184"/>
      <c r="E1" s="184"/>
      <c r="F1" s="184"/>
      <c r="G1" s="184"/>
    </row>
    <row r="2" spans="1:7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8"/>
    </row>
    <row r="3" spans="1:7" x14ac:dyDescent="0.25">
      <c r="A3" s="172" t="s">
        <v>277</v>
      </c>
      <c r="B3" s="173"/>
      <c r="C3" s="173"/>
      <c r="D3" s="173"/>
      <c r="E3" s="173"/>
      <c r="F3" s="173"/>
      <c r="G3" s="174"/>
    </row>
    <row r="4" spans="1:7" x14ac:dyDescent="0.25">
      <c r="A4" s="172" t="s">
        <v>399</v>
      </c>
      <c r="B4" s="173"/>
      <c r="C4" s="173"/>
      <c r="D4" s="173"/>
      <c r="E4" s="173"/>
      <c r="F4" s="173"/>
      <c r="G4" s="174"/>
    </row>
    <row r="5" spans="1:7" ht="14.25" x14ac:dyDescent="0.45">
      <c r="A5" s="172" t="str">
        <f>TRIMESTRE</f>
        <v>Del 1 de enero al 30 de junio de 2022 (b)</v>
      </c>
      <c r="B5" s="173"/>
      <c r="C5" s="173"/>
      <c r="D5" s="173"/>
      <c r="E5" s="173"/>
      <c r="F5" s="173"/>
      <c r="G5" s="174"/>
    </row>
    <row r="6" spans="1:7" ht="14.25" x14ac:dyDescent="0.45">
      <c r="A6" s="175" t="s">
        <v>118</v>
      </c>
      <c r="B6" s="176"/>
      <c r="C6" s="176"/>
      <c r="D6" s="176"/>
      <c r="E6" s="176"/>
      <c r="F6" s="176"/>
      <c r="G6" s="177"/>
    </row>
    <row r="7" spans="1:7" x14ac:dyDescent="0.25">
      <c r="A7" s="181" t="s">
        <v>361</v>
      </c>
      <c r="B7" s="186" t="s">
        <v>279</v>
      </c>
      <c r="C7" s="186"/>
      <c r="D7" s="186"/>
      <c r="E7" s="186"/>
      <c r="F7" s="186"/>
      <c r="G7" s="186" t="s">
        <v>280</v>
      </c>
    </row>
    <row r="8" spans="1:7" ht="29.25" customHeight="1" x14ac:dyDescent="0.25">
      <c r="A8" s="18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93"/>
    </row>
    <row r="9" spans="1:7" ht="14.25" x14ac:dyDescent="0.45">
      <c r="A9" s="52" t="s">
        <v>400</v>
      </c>
      <c r="B9" s="66">
        <f>SUM(B10,B11,B12,B15,B16,B19)</f>
        <v>128004457.33</v>
      </c>
      <c r="C9" s="66">
        <f t="shared" ref="C9:F9" si="0">SUM(C10,C11,C12,C15,C16,C19)</f>
        <v>0</v>
      </c>
      <c r="D9" s="66">
        <f t="shared" si="0"/>
        <v>128004457.32999998</v>
      </c>
      <c r="E9" s="66">
        <f t="shared" si="0"/>
        <v>0</v>
      </c>
      <c r="F9" s="66">
        <f t="shared" si="0"/>
        <v>52829342.719999999</v>
      </c>
      <c r="G9" s="66">
        <f>SUM(G10,G11,G12,G15,G16,G19)</f>
        <v>128004457.32999998</v>
      </c>
    </row>
    <row r="10" spans="1:7" x14ac:dyDescent="0.25">
      <c r="A10" s="53" t="s">
        <v>401</v>
      </c>
      <c r="B10" s="67">
        <v>85546841.219999999</v>
      </c>
      <c r="C10" s="67">
        <v>399025.62999999989</v>
      </c>
      <c r="D10" s="67">
        <v>85945866.849999994</v>
      </c>
      <c r="E10" s="67">
        <v>0</v>
      </c>
      <c r="F10" s="67">
        <v>35063445.090000004</v>
      </c>
      <c r="G10" s="67">
        <f>D10-E10</f>
        <v>85945866.849999994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/>
      <c r="C12" s="67"/>
      <c r="D12" s="67"/>
      <c r="E12" s="67"/>
      <c r="F12" s="67"/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1">D14-E14</f>
        <v>0</v>
      </c>
    </row>
    <row r="15" spans="1:7" x14ac:dyDescent="0.25">
      <c r="A15" s="53" t="s">
        <v>406</v>
      </c>
      <c r="B15" s="67">
        <v>42457616.109999999</v>
      </c>
      <c r="C15" s="67">
        <v>-399025.62999999989</v>
      </c>
      <c r="D15" s="67">
        <v>42058590.479999997</v>
      </c>
      <c r="E15" s="67">
        <v>0</v>
      </c>
      <c r="F15" s="67">
        <v>17765897.629999999</v>
      </c>
      <c r="G15" s="67">
        <f t="shared" si="1"/>
        <v>42058590.479999997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2">C17+C18</f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3">SUM(C22,C23,C24,C27,C28,C31)</f>
        <v>0</v>
      </c>
      <c r="D21" s="66">
        <f t="shared" si="3"/>
        <v>0</v>
      </c>
      <c r="E21" s="66">
        <f t="shared" si="3"/>
        <v>0</v>
      </c>
      <c r="F21" s="66">
        <f t="shared" si="3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ht="14.25" x14ac:dyDescent="0.4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4">C25+C26</f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ht="14.25" x14ac:dyDescent="0.4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5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5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6">C29+C30</f>
        <v>0</v>
      </c>
      <c r="D28" s="67">
        <f t="shared" si="6"/>
        <v>0</v>
      </c>
      <c r="E28" s="67">
        <f t="shared" si="6"/>
        <v>0</v>
      </c>
      <c r="F28" s="67">
        <f t="shared" si="6"/>
        <v>0</v>
      </c>
      <c r="G28" s="67">
        <f t="shared" si="6"/>
        <v>0</v>
      </c>
    </row>
    <row r="29" spans="1:7" s="24" customFormat="1" ht="14.25" x14ac:dyDescent="0.4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ht="14.25" x14ac:dyDescent="0.4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7">D30-E30</f>
        <v>0</v>
      </c>
    </row>
    <row r="31" spans="1:7" s="24" customFormat="1" ht="14.25" x14ac:dyDescent="0.4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7"/>
        <v>0</v>
      </c>
    </row>
    <row r="32" spans="1:7" ht="14.25" x14ac:dyDescent="0.45">
      <c r="A32" s="54"/>
      <c r="B32" s="68"/>
      <c r="C32" s="68"/>
      <c r="D32" s="68"/>
      <c r="E32" s="68"/>
      <c r="F32" s="68"/>
      <c r="G32" s="68"/>
    </row>
    <row r="33" spans="1:7" ht="14.25" x14ac:dyDescent="0.45">
      <c r="A33" s="55" t="s">
        <v>412</v>
      </c>
      <c r="B33" s="66">
        <f>B21+B9</f>
        <v>128004457.33</v>
      </c>
      <c r="C33" s="66">
        <f t="shared" ref="C33:G33" si="8">C21+C9</f>
        <v>0</v>
      </c>
      <c r="D33" s="66">
        <f t="shared" si="8"/>
        <v>128004457.32999998</v>
      </c>
      <c r="E33" s="66">
        <f t="shared" si="8"/>
        <v>0</v>
      </c>
      <c r="F33" s="66">
        <f t="shared" si="8"/>
        <v>52829342.719999999</v>
      </c>
      <c r="G33" s="66">
        <f t="shared" si="8"/>
        <v>128004457.32999998</v>
      </c>
    </row>
    <row r="34" spans="1:7" ht="14.25" x14ac:dyDescent="0.4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fitToHeight="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128004457.33</v>
      </c>
      <c r="Q2" s="18">
        <f>'Formato 6 d)'!C9</f>
        <v>0</v>
      </c>
      <c r="R2" s="18">
        <f>'Formato 6 d)'!D9</f>
        <v>128004457.32999998</v>
      </c>
      <c r="S2" s="18">
        <f>'Formato 6 d)'!E9</f>
        <v>0</v>
      </c>
      <c r="T2" s="18">
        <f>'Formato 6 d)'!F9</f>
        <v>52829342.719999999</v>
      </c>
      <c r="U2" s="18">
        <f>'Formato 6 d)'!G9</f>
        <v>128004457.32999998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85546841.219999999</v>
      </c>
      <c r="Q3" s="18">
        <f>'Formato 6 d)'!C10</f>
        <v>399025.62999999989</v>
      </c>
      <c r="R3" s="18">
        <f>'Formato 6 d)'!D10</f>
        <v>85945866.849999994</v>
      </c>
      <c r="S3" s="18">
        <f>'Formato 6 d)'!E10</f>
        <v>0</v>
      </c>
      <c r="T3" s="18">
        <f>'Formato 6 d)'!F10</f>
        <v>35063445.090000004</v>
      </c>
      <c r="U3" s="18">
        <f>'Formato 6 d)'!G10</f>
        <v>85945866.849999994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42457616.109999999</v>
      </c>
      <c r="Q8" s="18">
        <f>'Formato 6 d)'!C15</f>
        <v>-399025.62999999989</v>
      </c>
      <c r="R8" s="18">
        <f>'Formato 6 d)'!D15</f>
        <v>42058590.479999997</v>
      </c>
      <c r="S8" s="18">
        <f>'Formato 6 d)'!E15</f>
        <v>0</v>
      </c>
      <c r="T8" s="18">
        <f>'Formato 6 d)'!F15</f>
        <v>17765897.629999999</v>
      </c>
      <c r="U8" s="18">
        <f>'Formato 6 d)'!G15</f>
        <v>42058590.479999997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128004457.33</v>
      </c>
      <c r="Q24" s="18">
        <f>'Formato 6 d)'!C33</f>
        <v>0</v>
      </c>
      <c r="R24" s="18">
        <f>'Formato 6 d)'!D33</f>
        <v>128004457.32999998</v>
      </c>
      <c r="S24" s="18">
        <f>'Formato 6 d)'!E33</f>
        <v>0</v>
      </c>
      <c r="T24" s="18">
        <f>'Formato 6 d)'!F33</f>
        <v>52829342.719999999</v>
      </c>
      <c r="U24" s="18">
        <f>'Formato 6 d)'!G33</f>
        <v>128004457.32999998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17" zoomScale="85" zoomScaleNormal="85" zoomScalePageLayoutView="90" workbookViewId="0">
      <selection activeCell="B33" sqref="B3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84" t="s">
        <v>413</v>
      </c>
      <c r="B1" s="184"/>
      <c r="C1" s="184"/>
      <c r="D1" s="184"/>
      <c r="E1" s="184"/>
      <c r="F1" s="184"/>
      <c r="G1" s="184"/>
    </row>
    <row r="2" spans="1:7" ht="14.25" x14ac:dyDescent="0.45">
      <c r="A2" s="166" t="str">
        <f>ENTIDAD</f>
        <v>Municipio de San Felipe, Gobierno del Estado de Guanajuato</v>
      </c>
      <c r="B2" s="167"/>
      <c r="C2" s="167"/>
      <c r="D2" s="167"/>
      <c r="E2" s="167"/>
      <c r="F2" s="167"/>
      <c r="G2" s="168"/>
    </row>
    <row r="3" spans="1:7" ht="14.25" x14ac:dyDescent="0.45">
      <c r="A3" s="169" t="s">
        <v>414</v>
      </c>
      <c r="B3" s="170"/>
      <c r="C3" s="170"/>
      <c r="D3" s="170"/>
      <c r="E3" s="170"/>
      <c r="F3" s="170"/>
      <c r="G3" s="171"/>
    </row>
    <row r="4" spans="1:7" ht="14.25" x14ac:dyDescent="0.45">
      <c r="A4" s="169" t="s">
        <v>118</v>
      </c>
      <c r="B4" s="170"/>
      <c r="C4" s="170"/>
      <c r="D4" s="170"/>
      <c r="E4" s="170"/>
      <c r="F4" s="170"/>
      <c r="G4" s="171"/>
    </row>
    <row r="5" spans="1:7" ht="14.25" x14ac:dyDescent="0.45">
      <c r="A5" s="169" t="s">
        <v>415</v>
      </c>
      <c r="B5" s="170"/>
      <c r="C5" s="170"/>
      <c r="D5" s="170"/>
      <c r="E5" s="170"/>
      <c r="F5" s="170"/>
      <c r="G5" s="171"/>
    </row>
    <row r="6" spans="1:7" x14ac:dyDescent="0.25">
      <c r="A6" s="181" t="s">
        <v>3288</v>
      </c>
      <c r="B6" s="51">
        <f>ANIO1P</f>
        <v>2023</v>
      </c>
      <c r="C6" s="194" t="str">
        <f>ANIO2P</f>
        <v>2024 (d)</v>
      </c>
      <c r="D6" s="194" t="str">
        <f>ANIO3P</f>
        <v>2025 (d)</v>
      </c>
      <c r="E6" s="194" t="str">
        <f>ANIO4P</f>
        <v>2026 (d)</v>
      </c>
      <c r="F6" s="194" t="str">
        <f>ANIO5P</f>
        <v>2027 (d)</v>
      </c>
      <c r="G6" s="194" t="str">
        <f>ANIO6P</f>
        <v>2028 (d)</v>
      </c>
    </row>
    <row r="7" spans="1:7" ht="48" customHeight="1" x14ac:dyDescent="0.25">
      <c r="A7" s="182"/>
      <c r="B7" s="88" t="s">
        <v>3291</v>
      </c>
      <c r="C7" s="195"/>
      <c r="D7" s="195"/>
      <c r="E7" s="195"/>
      <c r="F7" s="195"/>
      <c r="G7" s="195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84" t="s">
        <v>451</v>
      </c>
      <c r="B1" s="184"/>
      <c r="C1" s="184"/>
      <c r="D1" s="184"/>
      <c r="E1" s="184"/>
      <c r="F1" s="184"/>
      <c r="G1" s="184"/>
    </row>
    <row r="2" spans="1:7" customFormat="1" ht="14.25" x14ac:dyDescent="0.45">
      <c r="A2" s="166" t="str">
        <f>ENTIDAD</f>
        <v>Municipio de San Felipe, Gobierno del Estado de Guanajuato</v>
      </c>
      <c r="B2" s="167"/>
      <c r="C2" s="167"/>
      <c r="D2" s="167"/>
      <c r="E2" s="167"/>
      <c r="F2" s="167"/>
      <c r="G2" s="168"/>
    </row>
    <row r="3" spans="1:7" customFormat="1" ht="14.25" x14ac:dyDescent="0.45">
      <c r="A3" s="169" t="s">
        <v>452</v>
      </c>
      <c r="B3" s="170"/>
      <c r="C3" s="170"/>
      <c r="D3" s="170"/>
      <c r="E3" s="170"/>
      <c r="F3" s="170"/>
      <c r="G3" s="171"/>
    </row>
    <row r="4" spans="1:7" customFormat="1" ht="14.25" x14ac:dyDescent="0.45">
      <c r="A4" s="169" t="s">
        <v>118</v>
      </c>
      <c r="B4" s="170"/>
      <c r="C4" s="170"/>
      <c r="D4" s="170"/>
      <c r="E4" s="170"/>
      <c r="F4" s="170"/>
      <c r="G4" s="171"/>
    </row>
    <row r="5" spans="1:7" customFormat="1" ht="14.25" x14ac:dyDescent="0.45">
      <c r="A5" s="169" t="s">
        <v>415</v>
      </c>
      <c r="B5" s="170"/>
      <c r="C5" s="170"/>
      <c r="D5" s="170"/>
      <c r="E5" s="170"/>
      <c r="F5" s="170"/>
      <c r="G5" s="171"/>
    </row>
    <row r="6" spans="1:7" customFormat="1" x14ac:dyDescent="0.25">
      <c r="A6" s="196" t="s">
        <v>3142</v>
      </c>
      <c r="B6" s="51">
        <f>ANIO1P</f>
        <v>2023</v>
      </c>
      <c r="C6" s="194" t="str">
        <f>ANIO2P</f>
        <v>2024 (d)</v>
      </c>
      <c r="D6" s="194" t="str">
        <f>ANIO3P</f>
        <v>2025 (d)</v>
      </c>
      <c r="E6" s="194" t="str">
        <f>ANIO4P</f>
        <v>2026 (d)</v>
      </c>
      <c r="F6" s="194" t="str">
        <f>ANIO5P</f>
        <v>2027 (d)</v>
      </c>
      <c r="G6" s="194" t="str">
        <f>ANIO6P</f>
        <v>2028 (d)</v>
      </c>
    </row>
    <row r="7" spans="1:7" customFormat="1" ht="48" customHeight="1" x14ac:dyDescent="0.25">
      <c r="A7" s="197"/>
      <c r="B7" s="88" t="s">
        <v>3291</v>
      </c>
      <c r="C7" s="195"/>
      <c r="D7" s="195"/>
      <c r="E7" s="195"/>
      <c r="F7" s="195"/>
      <c r="G7" s="195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4" t="s">
        <v>466</v>
      </c>
      <c r="B1" s="184"/>
      <c r="C1" s="184"/>
      <c r="D1" s="184"/>
      <c r="E1" s="184"/>
      <c r="F1" s="184"/>
      <c r="G1" s="184"/>
    </row>
    <row r="2" spans="1:7" ht="14.25" x14ac:dyDescent="0.45">
      <c r="A2" s="166" t="str">
        <f>ENTIDAD</f>
        <v>Municipio de San Felipe, Gobierno del Estado de Guanajuato</v>
      </c>
      <c r="B2" s="167"/>
      <c r="C2" s="167"/>
      <c r="D2" s="167"/>
      <c r="E2" s="167"/>
      <c r="F2" s="167"/>
      <c r="G2" s="168"/>
    </row>
    <row r="3" spans="1:7" ht="14.25" x14ac:dyDescent="0.45">
      <c r="A3" s="169" t="s">
        <v>467</v>
      </c>
      <c r="B3" s="170"/>
      <c r="C3" s="170"/>
      <c r="D3" s="170"/>
      <c r="E3" s="170"/>
      <c r="F3" s="170"/>
      <c r="G3" s="171"/>
    </row>
    <row r="4" spans="1:7" ht="14.25" x14ac:dyDescent="0.45">
      <c r="A4" s="175" t="s">
        <v>118</v>
      </c>
      <c r="B4" s="176"/>
      <c r="C4" s="176"/>
      <c r="D4" s="176"/>
      <c r="E4" s="176"/>
      <c r="F4" s="176"/>
      <c r="G4" s="177"/>
    </row>
    <row r="5" spans="1:7" x14ac:dyDescent="0.25">
      <c r="A5" s="201" t="s">
        <v>3288</v>
      </c>
      <c r="B5" s="199" t="str">
        <f>ANIO5R</f>
        <v>2017 ¹ (c)</v>
      </c>
      <c r="C5" s="199" t="str">
        <f>ANIO4R</f>
        <v>2018 ¹ (c)</v>
      </c>
      <c r="D5" s="199" t="str">
        <f>ANIO3R</f>
        <v>2019 ¹ (c)</v>
      </c>
      <c r="E5" s="199" t="str">
        <f>ANIO2R</f>
        <v>2020 ¹ (c)</v>
      </c>
      <c r="F5" s="199" t="str">
        <f>ANIO1R</f>
        <v>2021 ¹ (c)</v>
      </c>
      <c r="G5" s="51">
        <f>ANIO_INFORME</f>
        <v>2022</v>
      </c>
    </row>
    <row r="6" spans="1:7" ht="32.1" customHeight="1" x14ac:dyDescent="0.25">
      <c r="A6" s="202"/>
      <c r="B6" s="200"/>
      <c r="C6" s="200"/>
      <c r="D6" s="200"/>
      <c r="E6" s="200"/>
      <c r="F6" s="200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98" t="s">
        <v>3292</v>
      </c>
      <c r="B39" s="198"/>
      <c r="C39" s="198"/>
      <c r="D39" s="198"/>
      <c r="E39" s="198"/>
      <c r="F39" s="198"/>
      <c r="G39" s="198"/>
    </row>
    <row r="40" spans="1:7" ht="15" customHeight="1" x14ac:dyDescent="0.25">
      <c r="A40" s="198" t="s">
        <v>3293</v>
      </c>
      <c r="B40" s="198"/>
      <c r="C40" s="198"/>
      <c r="D40" s="198"/>
      <c r="E40" s="198"/>
      <c r="F40" s="198"/>
      <c r="G40" s="198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4" t="s">
        <v>490</v>
      </c>
      <c r="B1" s="184"/>
      <c r="C1" s="184"/>
      <c r="D1" s="184"/>
      <c r="E1" s="184"/>
      <c r="F1" s="184"/>
      <c r="G1" s="184"/>
    </row>
    <row r="2" spans="1:7" ht="14.25" x14ac:dyDescent="0.45">
      <c r="A2" s="166" t="str">
        <f>ENTIDAD</f>
        <v>Municipio de San Felipe, Gobierno del Estado de Guanajuato</v>
      </c>
      <c r="B2" s="167"/>
      <c r="C2" s="167"/>
      <c r="D2" s="167"/>
      <c r="E2" s="167"/>
      <c r="F2" s="167"/>
      <c r="G2" s="168"/>
    </row>
    <row r="3" spans="1:7" ht="14.25" x14ac:dyDescent="0.45">
      <c r="A3" s="169" t="s">
        <v>491</v>
      </c>
      <c r="B3" s="170"/>
      <c r="C3" s="170"/>
      <c r="D3" s="170"/>
      <c r="E3" s="170"/>
      <c r="F3" s="170"/>
      <c r="G3" s="171"/>
    </row>
    <row r="4" spans="1:7" ht="14.25" x14ac:dyDescent="0.45">
      <c r="A4" s="175" t="s">
        <v>118</v>
      </c>
      <c r="B4" s="176"/>
      <c r="C4" s="176"/>
      <c r="D4" s="176"/>
      <c r="E4" s="176"/>
      <c r="F4" s="176"/>
      <c r="G4" s="177"/>
    </row>
    <row r="5" spans="1:7" x14ac:dyDescent="0.25">
      <c r="A5" s="203" t="s">
        <v>3142</v>
      </c>
      <c r="B5" s="199" t="str">
        <f>ANIO5R</f>
        <v>2017 ¹ (c)</v>
      </c>
      <c r="C5" s="199" t="str">
        <f>ANIO4R</f>
        <v>2018 ¹ (c)</v>
      </c>
      <c r="D5" s="199" t="str">
        <f>ANIO3R</f>
        <v>2019 ¹ (c)</v>
      </c>
      <c r="E5" s="199" t="str">
        <f>ANIO2R</f>
        <v>2020 ¹ (c)</v>
      </c>
      <c r="F5" s="199" t="str">
        <f>ANIO1R</f>
        <v>2021 ¹ (c)</v>
      </c>
      <c r="G5" s="51">
        <f>ANIO_INFORME</f>
        <v>2022</v>
      </c>
    </row>
    <row r="6" spans="1:7" ht="32.1" customHeight="1" x14ac:dyDescent="0.25">
      <c r="A6" s="204"/>
      <c r="B6" s="200"/>
      <c r="C6" s="200"/>
      <c r="D6" s="200"/>
      <c r="E6" s="200"/>
      <c r="F6" s="200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98" t="s">
        <v>3292</v>
      </c>
      <c r="B32" s="198"/>
      <c r="C32" s="198"/>
      <c r="D32" s="198"/>
      <c r="E32" s="198"/>
      <c r="F32" s="198"/>
      <c r="G32" s="198"/>
    </row>
    <row r="33" spans="1:7" x14ac:dyDescent="0.25">
      <c r="A33" s="198" t="s">
        <v>3293</v>
      </c>
      <c r="B33" s="198"/>
      <c r="C33" s="198"/>
      <c r="D33" s="198"/>
      <c r="E33" s="198"/>
      <c r="F33" s="198"/>
      <c r="G33" s="19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78" t="s">
        <v>495</v>
      </c>
      <c r="B1" s="178"/>
      <c r="C1" s="178"/>
      <c r="D1" s="178"/>
      <c r="E1" s="178"/>
      <c r="F1" s="178"/>
      <c r="G1" s="111"/>
    </row>
    <row r="2" spans="1:7" ht="14.25" x14ac:dyDescent="0.45">
      <c r="A2" s="166" t="str">
        <f>ENTE_PUBLICO</f>
        <v>MUNICIPIO DE SAN FELIPE, Gobierno del Estado de Guanajuato</v>
      </c>
      <c r="B2" s="167"/>
      <c r="C2" s="167"/>
      <c r="D2" s="167"/>
      <c r="E2" s="167"/>
      <c r="F2" s="168"/>
    </row>
    <row r="3" spans="1:7" ht="14.25" x14ac:dyDescent="0.45">
      <c r="A3" s="175" t="s">
        <v>496</v>
      </c>
      <c r="B3" s="176"/>
      <c r="C3" s="176"/>
      <c r="D3" s="176"/>
      <c r="E3" s="176"/>
      <c r="F3" s="177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view="pageBreakPreview" topLeftCell="A4" zoomScale="60" zoomScaleNormal="90" workbookViewId="0">
      <selection activeCell="A72" sqref="A72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78" t="s">
        <v>545</v>
      </c>
      <c r="B1" s="178"/>
      <c r="C1" s="178"/>
      <c r="D1" s="178"/>
      <c r="E1" s="178"/>
      <c r="F1" s="178"/>
    </row>
    <row r="2" spans="1:6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8"/>
    </row>
    <row r="3" spans="1:6" x14ac:dyDescent="0.25">
      <c r="A3" s="169" t="s">
        <v>117</v>
      </c>
      <c r="B3" s="170"/>
      <c r="C3" s="170"/>
      <c r="D3" s="170"/>
      <c r="E3" s="170"/>
      <c r="F3" s="171"/>
    </row>
    <row r="4" spans="1:6" ht="14.25" x14ac:dyDescent="0.45">
      <c r="A4" s="172" t="str">
        <f>PERIODO_INFORME</f>
        <v>Al 31 de diciembre de 2021 y al 30 de junio de 2022 (b)</v>
      </c>
      <c r="B4" s="173"/>
      <c r="C4" s="173"/>
      <c r="D4" s="173"/>
      <c r="E4" s="173"/>
      <c r="F4" s="174"/>
    </row>
    <row r="5" spans="1:6" ht="14.25" x14ac:dyDescent="0.45">
      <c r="A5" s="175" t="s">
        <v>118</v>
      </c>
      <c r="B5" s="176"/>
      <c r="C5" s="176"/>
      <c r="D5" s="176"/>
      <c r="E5" s="176"/>
      <c r="F5" s="177"/>
    </row>
    <row r="6" spans="1:6" s="3" customFormat="1" ht="28.5" x14ac:dyDescent="0.45">
      <c r="A6" s="133" t="s">
        <v>3284</v>
      </c>
      <c r="B6" s="134" t="str">
        <f>ANIO</f>
        <v>2022 (d)</v>
      </c>
      <c r="C6" s="131" t="str">
        <f>ULTIMO</f>
        <v>31 de diciembre de 2021 (e)</v>
      </c>
      <c r="D6" s="135" t="s">
        <v>0</v>
      </c>
      <c r="E6" s="134" t="str">
        <f>ANIO</f>
        <v>2022 (d)</v>
      </c>
      <c r="F6" s="131" t="str">
        <f>ULTIMO</f>
        <v>31 de diciembre de 2021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123708124.72</v>
      </c>
      <c r="C9" s="60">
        <f>SUM(C10:C16)</f>
        <v>41071949.259999998</v>
      </c>
      <c r="D9" s="100" t="s">
        <v>54</v>
      </c>
      <c r="E9" s="60">
        <f>SUM(E10:E18)</f>
        <v>1700712.49</v>
      </c>
      <c r="F9" s="60">
        <f>SUM(F10:F18)</f>
        <v>5207102.67</v>
      </c>
    </row>
    <row r="10" spans="1:6" ht="14.25" customHeight="1" x14ac:dyDescent="0.25">
      <c r="A10" s="96" t="s">
        <v>4</v>
      </c>
      <c r="B10" s="149"/>
      <c r="C10" s="149"/>
      <c r="D10" s="101" t="s">
        <v>55</v>
      </c>
      <c r="E10" s="159">
        <v>3078.92</v>
      </c>
      <c r="F10" s="159">
        <v>1604618.48</v>
      </c>
    </row>
    <row r="11" spans="1:6" x14ac:dyDescent="0.25">
      <c r="A11" s="96" t="s">
        <v>5</v>
      </c>
      <c r="B11" s="150">
        <v>59122432.969999999</v>
      </c>
      <c r="C11" s="150">
        <v>13951121.300000001</v>
      </c>
      <c r="D11" s="101" t="s">
        <v>56</v>
      </c>
      <c r="E11" s="159">
        <v>355515.85</v>
      </c>
      <c r="F11" s="159">
        <v>319135</v>
      </c>
    </row>
    <row r="12" spans="1:6" x14ac:dyDescent="0.25">
      <c r="A12" s="96" t="s">
        <v>6</v>
      </c>
      <c r="B12" s="149"/>
      <c r="C12" s="149"/>
      <c r="D12" s="101" t="s">
        <v>57</v>
      </c>
      <c r="E12" s="159">
        <v>738.5</v>
      </c>
      <c r="F12" s="159">
        <v>738.5</v>
      </c>
    </row>
    <row r="13" spans="1:6" ht="14.25" customHeight="1" x14ac:dyDescent="0.25">
      <c r="A13" s="96" t="s">
        <v>7</v>
      </c>
      <c r="B13" s="150">
        <v>61627076.719999999</v>
      </c>
      <c r="C13" s="150">
        <v>25258526.420000002</v>
      </c>
      <c r="D13" s="101" t="s">
        <v>58</v>
      </c>
      <c r="E13" s="158"/>
      <c r="F13" s="158"/>
    </row>
    <row r="14" spans="1:6" x14ac:dyDescent="0.25">
      <c r="A14" s="96" t="s">
        <v>8</v>
      </c>
      <c r="B14" s="150">
        <v>2958615.03</v>
      </c>
      <c r="C14" s="150">
        <v>1862301.54</v>
      </c>
      <c r="D14" s="101" t="s">
        <v>59</v>
      </c>
      <c r="E14" s="159">
        <v>0</v>
      </c>
      <c r="F14" s="159">
        <v>0</v>
      </c>
    </row>
    <row r="15" spans="1:6" x14ac:dyDescent="0.25">
      <c r="A15" s="96" t="s">
        <v>9</v>
      </c>
      <c r="B15" s="149"/>
      <c r="C15" s="149"/>
      <c r="D15" s="101" t="s">
        <v>60</v>
      </c>
      <c r="E15" s="158"/>
      <c r="F15" s="158"/>
    </row>
    <row r="16" spans="1:6" ht="14.25" customHeight="1" x14ac:dyDescent="0.25">
      <c r="A16" s="96" t="s">
        <v>10</v>
      </c>
      <c r="B16" s="149"/>
      <c r="C16" s="149"/>
      <c r="D16" s="101" t="s">
        <v>61</v>
      </c>
      <c r="E16" s="159">
        <v>711763.25</v>
      </c>
      <c r="F16" s="159">
        <v>-748660.22</v>
      </c>
    </row>
    <row r="17" spans="1:6" x14ac:dyDescent="0.25">
      <c r="A17" s="95" t="s">
        <v>11</v>
      </c>
      <c r="B17" s="60">
        <f>SUM(B18:B24)</f>
        <v>5046665.0200000005</v>
      </c>
      <c r="C17" s="60">
        <f>SUM(C18:C24)</f>
        <v>5112098.12</v>
      </c>
      <c r="D17" s="101" t="s">
        <v>62</v>
      </c>
      <c r="E17" s="158"/>
      <c r="F17" s="158"/>
    </row>
    <row r="18" spans="1:6" x14ac:dyDescent="0.25">
      <c r="A18" s="97" t="s">
        <v>12</v>
      </c>
      <c r="B18" s="151"/>
      <c r="C18" s="151"/>
      <c r="D18" s="101" t="s">
        <v>63</v>
      </c>
      <c r="E18" s="159">
        <v>629615.97</v>
      </c>
      <c r="F18" s="159">
        <v>4031270.91</v>
      </c>
    </row>
    <row r="19" spans="1:6" ht="14.25" customHeight="1" x14ac:dyDescent="0.25">
      <c r="A19" s="97" t="s">
        <v>13</v>
      </c>
      <c r="B19" s="152">
        <v>2877.78</v>
      </c>
      <c r="C19" s="152">
        <v>52710.239999999998</v>
      </c>
      <c r="D19" s="100" t="s">
        <v>64</v>
      </c>
      <c r="E19" s="60">
        <f>SUM(E20:E22)</f>
        <v>0</v>
      </c>
      <c r="F19" s="60">
        <f>SUM(F20:F22)</f>
        <v>0</v>
      </c>
    </row>
    <row r="20" spans="1:6" ht="14.25" customHeight="1" x14ac:dyDescent="0.25">
      <c r="A20" s="97" t="s">
        <v>14</v>
      </c>
      <c r="B20" s="152">
        <v>4286198.62</v>
      </c>
      <c r="C20" s="152">
        <v>4047543.58</v>
      </c>
      <c r="D20" s="101" t="s">
        <v>65</v>
      </c>
      <c r="E20" s="60"/>
      <c r="F20" s="60"/>
    </row>
    <row r="21" spans="1:6" x14ac:dyDescent="0.25">
      <c r="A21" s="97" t="s">
        <v>15</v>
      </c>
      <c r="B21" s="152">
        <v>0</v>
      </c>
      <c r="C21" s="152">
        <v>0</v>
      </c>
      <c r="D21" s="101" t="s">
        <v>66</v>
      </c>
      <c r="E21" s="60"/>
      <c r="F21" s="60"/>
    </row>
    <row r="22" spans="1:6" x14ac:dyDescent="0.25">
      <c r="A22" s="97" t="s">
        <v>16</v>
      </c>
      <c r="B22" s="152">
        <v>10000</v>
      </c>
      <c r="C22" s="152">
        <v>5000</v>
      </c>
      <c r="D22" s="101" t="s">
        <v>67</v>
      </c>
      <c r="E22" s="60"/>
      <c r="F22" s="60"/>
    </row>
    <row r="23" spans="1:6" x14ac:dyDescent="0.25">
      <c r="A23" s="97" t="s">
        <v>17</v>
      </c>
      <c r="B23" s="151"/>
      <c r="C23" s="151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52">
        <v>747588.62</v>
      </c>
      <c r="C24" s="152">
        <v>1006844.3</v>
      </c>
      <c r="D24" s="101" t="s">
        <v>69</v>
      </c>
      <c r="E24" s="60"/>
      <c r="F24" s="60"/>
    </row>
    <row r="25" spans="1:6" x14ac:dyDescent="0.25">
      <c r="A25" s="95" t="s">
        <v>19</v>
      </c>
      <c r="B25" s="60">
        <f>SUM(B26:B30)</f>
        <v>16424110.560000001</v>
      </c>
      <c r="C25" s="60">
        <f>SUM(C26:C30)</f>
        <v>13465694.25</v>
      </c>
      <c r="D25" s="101" t="s">
        <v>70</v>
      </c>
      <c r="E25" s="60"/>
      <c r="F25" s="60"/>
    </row>
    <row r="26" spans="1:6" x14ac:dyDescent="0.25">
      <c r="A26" s="97" t="s">
        <v>20</v>
      </c>
      <c r="B26" s="154">
        <v>1531266.39</v>
      </c>
      <c r="C26" s="154">
        <v>717586.39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154">
        <v>336705.34</v>
      </c>
      <c r="C27" s="154">
        <v>336705.34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153"/>
      <c r="C28" s="153"/>
      <c r="D28" s="101" t="s">
        <v>73</v>
      </c>
      <c r="E28" s="60"/>
      <c r="F28" s="60"/>
    </row>
    <row r="29" spans="1:6" x14ac:dyDescent="0.25">
      <c r="A29" s="97" t="s">
        <v>23</v>
      </c>
      <c r="B29" s="154">
        <v>14556138.83</v>
      </c>
      <c r="C29" s="154">
        <v>12411402.52</v>
      </c>
      <c r="D29" s="101" t="s">
        <v>74</v>
      </c>
      <c r="E29" s="60"/>
      <c r="F29" s="60"/>
    </row>
    <row r="30" spans="1:6" ht="14.25" customHeight="1" x14ac:dyDescent="0.25">
      <c r="A30" s="97" t="s">
        <v>24</v>
      </c>
      <c r="B30" s="153"/>
      <c r="C30" s="153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156">
        <v>0</v>
      </c>
      <c r="C32" s="156">
        <v>0</v>
      </c>
      <c r="D32" s="101" t="s">
        <v>77</v>
      </c>
      <c r="E32" s="60"/>
      <c r="F32" s="60"/>
    </row>
    <row r="33" spans="1:6" x14ac:dyDescent="0.25">
      <c r="A33" s="97" t="s">
        <v>27</v>
      </c>
      <c r="B33" s="155"/>
      <c r="C33" s="155"/>
      <c r="D33" s="101" t="s">
        <v>78</v>
      </c>
      <c r="E33" s="60"/>
      <c r="F33" s="60"/>
    </row>
    <row r="34" spans="1:6" x14ac:dyDescent="0.25">
      <c r="A34" s="97" t="s">
        <v>28</v>
      </c>
      <c r="B34" s="155"/>
      <c r="C34" s="155"/>
      <c r="D34" s="101" t="s">
        <v>79</v>
      </c>
      <c r="E34" s="60"/>
      <c r="F34" s="60"/>
    </row>
    <row r="35" spans="1:6" x14ac:dyDescent="0.25">
      <c r="A35" s="97" t="s">
        <v>29</v>
      </c>
      <c r="B35" s="155"/>
      <c r="C35" s="155"/>
      <c r="D35" s="101" t="s">
        <v>80</v>
      </c>
      <c r="E35" s="60"/>
      <c r="F35" s="60"/>
    </row>
    <row r="36" spans="1:6" x14ac:dyDescent="0.25">
      <c r="A36" s="97" t="s">
        <v>30</v>
      </c>
      <c r="B36" s="155"/>
      <c r="C36" s="155"/>
      <c r="D36" s="101" t="s">
        <v>81</v>
      </c>
      <c r="E36" s="60"/>
      <c r="F36" s="60"/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/>
      <c r="F39" s="60"/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/>
      <c r="F43" s="60"/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/>
      <c r="F44" s="60"/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145178900.29999998</v>
      </c>
      <c r="C47" s="61">
        <f>C9+C17+C25+C31+C38+C41</f>
        <v>59649741.629999995</v>
      </c>
      <c r="D47" s="99" t="s">
        <v>91</v>
      </c>
      <c r="E47" s="61">
        <f>E9+E19+E23+E26+E27+E31+E38+E42</f>
        <v>1700712.49</v>
      </c>
      <c r="F47" s="61">
        <f>F9+F19+F23+F26+F27+F31+F38+F42</f>
        <v>5207102.67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157">
        <v>0</v>
      </c>
      <c r="C50" s="157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157">
        <v>0</v>
      </c>
      <c r="C51" s="157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57">
        <v>655641589.42999995</v>
      </c>
      <c r="C52" s="157">
        <v>604005787.67999995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57">
        <v>86699460.209999993</v>
      </c>
      <c r="C53" s="157">
        <v>85560161.049999997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57">
        <v>1599396.83</v>
      </c>
      <c r="C54" s="157">
        <v>1599396.83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57">
        <v>-67165613.200000003</v>
      </c>
      <c r="C55" s="157">
        <v>-67165613.200000003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57">
        <v>41621.93</v>
      </c>
      <c r="C56" s="157">
        <v>41621.93</v>
      </c>
      <c r="D56" s="54"/>
      <c r="E56" s="54"/>
      <c r="F56" s="54"/>
    </row>
    <row r="57" spans="1:6" x14ac:dyDescent="0.25">
      <c r="A57" s="95" t="s">
        <v>48</v>
      </c>
      <c r="B57" s="157">
        <v>0</v>
      </c>
      <c r="C57" s="157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157">
        <v>0</v>
      </c>
      <c r="C58" s="157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1700712.49</v>
      </c>
      <c r="F59" s="61">
        <f>F47+F57</f>
        <v>5207102.67</v>
      </c>
    </row>
    <row r="60" spans="1:6" x14ac:dyDescent="0.25">
      <c r="A60" s="55" t="s">
        <v>50</v>
      </c>
      <c r="B60" s="61">
        <f>SUM(B50:B58)</f>
        <v>676816455.19999993</v>
      </c>
      <c r="C60" s="61">
        <f>SUM(C50:C58)</f>
        <v>624041354.28999984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821995355.49999988</v>
      </c>
      <c r="C62" s="61">
        <f>SUM(C47+C60)</f>
        <v>683691095.91999984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80673165.239999995</v>
      </c>
      <c r="F63" s="77">
        <f>SUM(F64:F66)</f>
        <v>80673165.239999995</v>
      </c>
    </row>
    <row r="64" spans="1:6" x14ac:dyDescent="0.25">
      <c r="A64" s="54"/>
      <c r="B64" s="54"/>
      <c r="C64" s="54"/>
      <c r="D64" s="103" t="s">
        <v>103</v>
      </c>
      <c r="E64" s="160">
        <v>75620483.239999995</v>
      </c>
      <c r="F64" s="160">
        <v>75620483.239999995</v>
      </c>
    </row>
    <row r="65" spans="1:6" x14ac:dyDescent="0.25">
      <c r="A65" s="54"/>
      <c r="B65" s="54"/>
      <c r="C65" s="54"/>
      <c r="D65" s="41" t="s">
        <v>104</v>
      </c>
      <c r="E65" s="160">
        <v>5052682</v>
      </c>
      <c r="F65" s="160">
        <v>5052682</v>
      </c>
    </row>
    <row r="66" spans="1:6" x14ac:dyDescent="0.25">
      <c r="A66" s="54"/>
      <c r="B66" s="54"/>
      <c r="C66" s="54"/>
      <c r="D66" s="103" t="s">
        <v>105</v>
      </c>
      <c r="E66" s="160">
        <v>0</v>
      </c>
      <c r="F66" s="160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739621477.76999998</v>
      </c>
      <c r="F68" s="77">
        <f>SUM(F69:F73)</f>
        <v>597810963.94999993</v>
      </c>
    </row>
    <row r="69" spans="1:6" x14ac:dyDescent="0.25">
      <c r="A69" s="12"/>
      <c r="B69" s="54"/>
      <c r="C69" s="54"/>
      <c r="D69" s="103" t="s">
        <v>107</v>
      </c>
      <c r="E69" s="161">
        <v>141920691.93000001</v>
      </c>
      <c r="F69" s="161">
        <v>53975736.399999999</v>
      </c>
    </row>
    <row r="70" spans="1:6" x14ac:dyDescent="0.25">
      <c r="A70" s="12"/>
      <c r="B70" s="54"/>
      <c r="C70" s="54"/>
      <c r="D70" s="103" t="s">
        <v>108</v>
      </c>
      <c r="E70" s="161">
        <v>597659341.34000003</v>
      </c>
      <c r="F70" s="161">
        <v>543793783.04999995</v>
      </c>
    </row>
    <row r="71" spans="1:6" x14ac:dyDescent="0.25">
      <c r="A71" s="12"/>
      <c r="B71" s="54"/>
      <c r="C71" s="54"/>
      <c r="D71" s="103" t="s">
        <v>109</v>
      </c>
      <c r="E71" s="161">
        <v>41444.5</v>
      </c>
      <c r="F71" s="161">
        <v>41444.5</v>
      </c>
    </row>
    <row r="72" spans="1:6" x14ac:dyDescent="0.25">
      <c r="A72" s="12"/>
      <c r="B72" s="54"/>
      <c r="C72" s="54"/>
      <c r="D72" s="103" t="s">
        <v>110</v>
      </c>
      <c r="E72" s="161">
        <v>0</v>
      </c>
      <c r="F72" s="161">
        <v>0</v>
      </c>
    </row>
    <row r="73" spans="1:6" x14ac:dyDescent="0.25">
      <c r="A73" s="12"/>
      <c r="B73" s="54"/>
      <c r="C73" s="54"/>
      <c r="D73" s="103" t="s">
        <v>111</v>
      </c>
      <c r="E73" s="161">
        <v>0</v>
      </c>
      <c r="F73" s="161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820294643.00999999</v>
      </c>
      <c r="F79" s="61">
        <f>F63+F68+F75</f>
        <v>678484129.18999994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821995355.5</v>
      </c>
      <c r="F81" s="61">
        <f>F59+F79</f>
        <v>683691231.8599999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25" right="0.25" top="0.75" bottom="0.75" header="0.3" footer="0.3"/>
  <pageSetup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123708124.72</v>
      </c>
      <c r="Q4" s="18">
        <f>'Formato 1'!C9</f>
        <v>41071949.259999998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59122432.969999999</v>
      </c>
      <c r="Q6" s="18">
        <f>'Formato 1'!C11</f>
        <v>13951121.300000001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61627076.719999999</v>
      </c>
      <c r="Q8" s="18">
        <f>'Formato 1'!C13</f>
        <v>25258526.420000002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2958615.03</v>
      </c>
      <c r="Q9" s="18">
        <f>'Formato 1'!C14</f>
        <v>1862301.54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5046665.0200000005</v>
      </c>
      <c r="Q12" s="18">
        <f>'Formato 1'!C17</f>
        <v>5112098.12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2877.78</v>
      </c>
      <c r="Q14" s="18">
        <f>'Formato 1'!C19</f>
        <v>52710.239999999998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4286198.62</v>
      </c>
      <c r="Q15" s="18">
        <f>'Formato 1'!C20</f>
        <v>4047543.58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10000</v>
      </c>
      <c r="Q17" s="18">
        <f>'Formato 1'!C22</f>
        <v>5000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747588.62</v>
      </c>
      <c r="Q19" s="18">
        <f>'Formato 1'!C24</f>
        <v>1006844.3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16424110.560000001</v>
      </c>
      <c r="Q20" s="18">
        <f>'Formato 1'!C25</f>
        <v>13465694.25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1531266.39</v>
      </c>
      <c r="Q21" s="18">
        <f>'Formato 1'!C26</f>
        <v>717586.39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336705.34</v>
      </c>
      <c r="Q22" s="18">
        <f>'Formato 1'!C27</f>
        <v>336705.34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14556138.83</v>
      </c>
      <c r="Q24" s="18">
        <f>'Formato 1'!C29</f>
        <v>12411402.52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145178900.29999998</v>
      </c>
      <c r="Q42" s="18">
        <f>'Formato 1'!C47</f>
        <v>59649741.629999995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655641589.42999995</v>
      </c>
      <c r="Q46">
        <f>'Formato 1'!C52</f>
        <v>604005787.67999995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86699460.209999993</v>
      </c>
      <c r="Q47">
        <f>'Formato 1'!C53</f>
        <v>85560161.049999997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1599396.83</v>
      </c>
      <c r="Q48">
        <f>'Formato 1'!C54</f>
        <v>1599396.83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-67165613.200000003</v>
      </c>
      <c r="Q49">
        <f>'Formato 1'!C55</f>
        <v>-67165613.200000003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676816455.19999993</v>
      </c>
      <c r="Q53">
        <f>'Formato 1'!C60</f>
        <v>624041354.28999984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821995355.49999988</v>
      </c>
      <c r="Q54">
        <f>'Formato 1'!C62</f>
        <v>683691095.91999984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1700712.49</v>
      </c>
      <c r="Q57">
        <f>'Formato 1'!F9</f>
        <v>5207102.67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3078.92</v>
      </c>
      <c r="Q58">
        <f>'Formato 1'!F10</f>
        <v>1604618.48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355515.85</v>
      </c>
      <c r="Q59">
        <f>'Formato 1'!F11</f>
        <v>319135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738.5</v>
      </c>
      <c r="Q60">
        <f>'Formato 1'!F12</f>
        <v>738.5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711763.25</v>
      </c>
      <c r="Q64">
        <f>'Formato 1'!F16</f>
        <v>-748660.22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629615.97</v>
      </c>
      <c r="Q66">
        <f>'Formato 1'!F18</f>
        <v>4031270.91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1700712.49</v>
      </c>
      <c r="Q95">
        <f>'Formato 1'!F47</f>
        <v>5207102.67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1700712.49</v>
      </c>
      <c r="Q104">
        <f>'Formato 1'!F59</f>
        <v>5207102.67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80673165.239999995</v>
      </c>
      <c r="Q106">
        <f>'Formato 1'!F63</f>
        <v>80673165.239999995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75620483.239999995</v>
      </c>
      <c r="Q107">
        <f>'Formato 1'!F64</f>
        <v>75620483.239999995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5052682</v>
      </c>
      <c r="Q108">
        <f>'Formato 1'!F65</f>
        <v>5052682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739621477.76999998</v>
      </c>
      <c r="Q110">
        <f>'Formato 1'!F68</f>
        <v>597810963.94999993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141920691.93000001</v>
      </c>
      <c r="Q111">
        <f>'Formato 1'!F69</f>
        <v>53975736.399999999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597659341.34000003</v>
      </c>
      <c r="Q112">
        <f>'Formato 1'!F70</f>
        <v>543793783.04999995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820294643.00999999</v>
      </c>
      <c r="Q119">
        <f>'Formato 1'!F79</f>
        <v>678484129.18999994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821995355.5</v>
      </c>
      <c r="Q120">
        <f>'Formato 1'!F81</f>
        <v>683691231.8599999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>
    <pageSetUpPr fitToPage="1"/>
  </sheetPr>
  <dimension ref="A1:I47"/>
  <sheetViews>
    <sheetView showGridLines="0" view="pageBreakPreview" zoomScale="60" zoomScaleNormal="90" workbookViewId="0">
      <selection activeCell="B17" sqref="B17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80" t="s">
        <v>544</v>
      </c>
      <c r="B1" s="180"/>
      <c r="C1" s="180"/>
      <c r="D1" s="180"/>
      <c r="E1" s="180"/>
      <c r="F1" s="180"/>
      <c r="G1" s="180"/>
      <c r="H1" s="180"/>
    </row>
    <row r="2" spans="1:9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7"/>
      <c r="H2" s="168"/>
    </row>
    <row r="3" spans="1:9" x14ac:dyDescent="0.25">
      <c r="A3" s="169" t="s">
        <v>120</v>
      </c>
      <c r="B3" s="170"/>
      <c r="C3" s="170"/>
      <c r="D3" s="170"/>
      <c r="E3" s="170"/>
      <c r="F3" s="170"/>
      <c r="G3" s="170"/>
      <c r="H3" s="171"/>
    </row>
    <row r="4" spans="1:9" ht="14.25" x14ac:dyDescent="0.45">
      <c r="A4" s="172" t="str">
        <f>PERIODO_INFORME</f>
        <v>Al 31 de diciembre de 2021 y al 30 de junio de 2022 (b)</v>
      </c>
      <c r="B4" s="173"/>
      <c r="C4" s="173"/>
      <c r="D4" s="173"/>
      <c r="E4" s="173"/>
      <c r="F4" s="173"/>
      <c r="G4" s="173"/>
      <c r="H4" s="174"/>
    </row>
    <row r="5" spans="1:9" ht="14.25" x14ac:dyDescent="0.45">
      <c r="A5" s="175" t="s">
        <v>118</v>
      </c>
      <c r="B5" s="176"/>
      <c r="C5" s="176"/>
      <c r="D5" s="176"/>
      <c r="E5" s="176"/>
      <c r="F5" s="176"/>
      <c r="G5" s="176"/>
      <c r="H5" s="177"/>
    </row>
    <row r="6" spans="1:9" ht="45" x14ac:dyDescent="0.25">
      <c r="A6" s="104" t="s">
        <v>121</v>
      </c>
      <c r="B6" s="105" t="str">
        <f>ULTIMO_SALDO</f>
        <v>Saldo al 31 de diciembre de 2021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ht="14.25" x14ac:dyDescent="0.4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ht="14.25" x14ac:dyDescent="0.4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ht="14.25" x14ac:dyDescent="0.4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45">
      <c r="A32" s="90"/>
    </row>
    <row r="33" spans="1:8" ht="12" customHeight="1" x14ac:dyDescent="0.25">
      <c r="A33" s="179" t="s">
        <v>3300</v>
      </c>
      <c r="B33" s="179"/>
      <c r="C33" s="179"/>
      <c r="D33" s="179"/>
      <c r="E33" s="179"/>
      <c r="F33" s="179"/>
      <c r="G33" s="179"/>
      <c r="H33" s="179"/>
    </row>
    <row r="34" spans="1:8" ht="12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2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2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2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3</v>
      </c>
      <c r="C41" s="61">
        <f>SUM(C42:OB_CORTO_PLAZO_FIN_02)</f>
        <v>3</v>
      </c>
      <c r="D41" s="61">
        <f>SUM(D42:OB_CORTO_PLAZO_FIN_03)</f>
        <v>3</v>
      </c>
      <c r="E41" s="61">
        <f>SUM(E42:OB_CORTO_PLAZO_FIN_04)</f>
        <v>3</v>
      </c>
      <c r="F41" s="61">
        <f>SUM(F42:OB_CORTO_PLAZO_FIN_05)</f>
        <v>3</v>
      </c>
    </row>
    <row r="42" spans="1:8" s="24" customFormat="1" x14ac:dyDescent="0.25">
      <c r="A42" s="109" t="s">
        <v>448</v>
      </c>
      <c r="B42" s="60">
        <v>1</v>
      </c>
      <c r="C42" s="60">
        <v>1</v>
      </c>
      <c r="D42" s="60">
        <v>1</v>
      </c>
      <c r="E42" s="60">
        <v>1</v>
      </c>
      <c r="F42" s="60">
        <v>1</v>
      </c>
    </row>
    <row r="43" spans="1:8" s="24" customFormat="1" x14ac:dyDescent="0.25">
      <c r="A43" s="109" t="s">
        <v>449</v>
      </c>
      <c r="B43" s="60">
        <v>1</v>
      </c>
      <c r="C43" s="60">
        <v>1</v>
      </c>
      <c r="D43" s="60">
        <v>1</v>
      </c>
      <c r="E43" s="60">
        <v>1</v>
      </c>
      <c r="F43" s="60">
        <v>1</v>
      </c>
    </row>
    <row r="44" spans="1:8" s="24" customFormat="1" x14ac:dyDescent="0.25">
      <c r="A44" s="109" t="s">
        <v>450</v>
      </c>
      <c r="B44" s="60">
        <v>1</v>
      </c>
      <c r="C44" s="60">
        <v>1</v>
      </c>
      <c r="D44" s="60">
        <v>1</v>
      </c>
      <c r="E44" s="60">
        <v>1</v>
      </c>
      <c r="F44" s="60">
        <v>1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3</v>
      </c>
      <c r="Q17">
        <f>OB_CORTO_PLAZO_T2</f>
        <v>3</v>
      </c>
      <c r="R17">
        <f>OB_CORTO_PLAZO_T3</f>
        <v>3</v>
      </c>
      <c r="S17">
        <f>OB_CORTO_PLAZO_T4</f>
        <v>3</v>
      </c>
      <c r="T17">
        <f>OB_CORTO_PLAZO_T5</f>
        <v>3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L21"/>
  <sheetViews>
    <sheetView showGridLines="0" view="pageBreakPreview" zoomScale="60" zoomScaleNormal="90" workbookViewId="0">
      <selection activeCell="G15" sqref="G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78" t="s">
        <v>543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11"/>
    </row>
    <row r="2" spans="1:12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7"/>
      <c r="H2" s="167"/>
      <c r="I2" s="167"/>
      <c r="J2" s="167"/>
      <c r="K2" s="168"/>
    </row>
    <row r="3" spans="1:12" x14ac:dyDescent="0.25">
      <c r="A3" s="169" t="s">
        <v>146</v>
      </c>
      <c r="B3" s="170"/>
      <c r="C3" s="170"/>
      <c r="D3" s="170"/>
      <c r="E3" s="170"/>
      <c r="F3" s="170"/>
      <c r="G3" s="170"/>
      <c r="H3" s="170"/>
      <c r="I3" s="170"/>
      <c r="J3" s="170"/>
      <c r="K3" s="171"/>
    </row>
    <row r="4" spans="1:12" ht="14.25" x14ac:dyDescent="0.45">
      <c r="A4" s="172" t="str">
        <f>TRIMESTRE</f>
        <v>Del 1 de enero al 30 de junio de 2022 (b)</v>
      </c>
      <c r="B4" s="173"/>
      <c r="C4" s="173"/>
      <c r="D4" s="173"/>
      <c r="E4" s="173"/>
      <c r="F4" s="173"/>
      <c r="G4" s="173"/>
      <c r="H4" s="173"/>
      <c r="I4" s="173"/>
      <c r="J4" s="173"/>
      <c r="K4" s="174"/>
    </row>
    <row r="5" spans="1:12" ht="14.25" x14ac:dyDescent="0.45">
      <c r="A5" s="169" t="s">
        <v>118</v>
      </c>
      <c r="B5" s="170"/>
      <c r="C5" s="170"/>
      <c r="D5" s="170"/>
      <c r="E5" s="170"/>
      <c r="F5" s="170"/>
      <c r="G5" s="170"/>
      <c r="H5" s="170"/>
      <c r="I5" s="170"/>
      <c r="J5" s="170"/>
      <c r="K5" s="17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2022 (k)</v>
      </c>
      <c r="J6" s="131" t="str">
        <f>MONTO2</f>
        <v>Monto pagado de la inversión actualizado al 30 de junio de 2022 (l)</v>
      </c>
      <c r="K6" s="131" t="str">
        <f>SALDO_PENDIENTE</f>
        <v>Saldo pendiente por pagar de la inversión al 30 de junio de 2022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/>
      <c r="F9" s="60">
        <v>80</v>
      </c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/>
      <c r="F10" s="60">
        <v>70</v>
      </c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/>
      <c r="F11" s="60">
        <v>60</v>
      </c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/>
      <c r="F12" s="60">
        <v>50</v>
      </c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/>
      <c r="F15" s="60">
        <v>40</v>
      </c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/>
      <c r="F16" s="60">
        <v>30</v>
      </c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/>
      <c r="F17" s="60">
        <v>20</v>
      </c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/>
      <c r="F18" s="60">
        <v>10</v>
      </c>
      <c r="G18" s="60"/>
      <c r="H18" s="60"/>
      <c r="I18" s="60"/>
      <c r="J18" s="60"/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  <pageSetup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2022-07-29T17:49:43Z</cp:lastPrinted>
  <dcterms:created xsi:type="dcterms:W3CDTF">2017-01-19T17:59:06Z</dcterms:created>
  <dcterms:modified xsi:type="dcterms:W3CDTF">2022-08-09T20:24:49Z</dcterms:modified>
</cp:coreProperties>
</file>